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480" yWindow="105" windowWidth="27795" windowHeight="12600" activeTab="12"/>
  </bookViews>
  <sheets>
    <sheet name="январь" sheetId="3" r:id="rId1"/>
    <sheet name="февраль" sheetId="4" r:id="rId2"/>
    <sheet name="март" sheetId="5" r:id="rId3"/>
    <sheet name="апрель" sheetId="6" r:id="rId4"/>
    <sheet name="май" sheetId="7" r:id="rId5"/>
    <sheet name="июнь" sheetId="8" r:id="rId6"/>
    <sheet name="июль" sheetId="9" r:id="rId7"/>
    <sheet name="август" sheetId="10" r:id="rId8"/>
    <sheet name="сентябрь" sheetId="11" r:id="rId9"/>
    <sheet name="октябрь" sheetId="12" r:id="rId10"/>
    <sheet name="ноябрь" sheetId="13" r:id="rId11"/>
    <sheet name="декабрь" sheetId="14" r:id="rId12"/>
    <sheet name="2019 год" sheetId="16" r:id="rId13"/>
    <sheet name="Лист1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IDОтчета">178174</definedName>
    <definedName name="_IDШаблона">178176</definedName>
    <definedName name="add_11_1" localSheetId="12">'2019 год'!$E$20</definedName>
    <definedName name="add_11_1">#REF!</definedName>
    <definedName name="add_11_2" localSheetId="12">'2019 год'!$E$23</definedName>
    <definedName name="add_11_2">#REF!</definedName>
    <definedName name="add_11_3" localSheetId="12">'2019 год'!$E$27</definedName>
    <definedName name="add_11_3">#REF!</definedName>
    <definedName name="add_11_4" localSheetId="12">'2019 год'!$E$43</definedName>
    <definedName name="add_11_4">#REF!</definedName>
    <definedName name="add_11_5" localSheetId="12">'2019 год'!$E$59</definedName>
    <definedName name="add_11_5">#REF!</definedName>
    <definedName name="add_11_6" localSheetId="12">'2019 год'!$E$62</definedName>
    <definedName name="add_11_6">#REF!</definedName>
    <definedName name="add_11_7" localSheetId="12">'2019 год'!$E$66</definedName>
    <definedName name="add_11_7">#REF!</definedName>
    <definedName name="add_11_8" localSheetId="12">'2019 год'!$E$82</definedName>
    <definedName name="add_11_8">#REF!</definedName>
    <definedName name="anscount" hidden="1">1</definedName>
    <definedName name="DaNet" localSheetId="12">[14]TEHSHEET!$F$2:$F$3</definedName>
    <definedName name="DaNet">[1]TEHSHEET!$F$2:$F$3</definedName>
    <definedName name="kod_stroki_1" localSheetId="12">'2019 год'!$F$15:$F$52</definedName>
    <definedName name="kod_stroki_1">#REF!</definedName>
    <definedName name="kod_stroki_2" localSheetId="12">'2019 год'!$F$54:$F$91</definedName>
    <definedName name="kod_stroki_2">#REF!</definedName>
    <definedName name="ks_1730" localSheetId="12">'2019 год'!$F$74</definedName>
    <definedName name="ks_1730">#REF!</definedName>
    <definedName name="ks_1750" localSheetId="12">'2019 год'!$F$76</definedName>
    <definedName name="ks_1750">#REF!</definedName>
    <definedName name="ks_1760" localSheetId="12">'2019 год'!$F$77</definedName>
    <definedName name="ks_1760">#REF!</definedName>
    <definedName name="ks_2020" localSheetId="12">'2019 год'!$F$87</definedName>
    <definedName name="ks_2020">#REF!</definedName>
    <definedName name="ks_2130" localSheetId="12">'2019 год'!$F$100</definedName>
    <definedName name="ks_2130">#REF!</definedName>
    <definedName name="ks_2340" localSheetId="12">'2019 год'!$F$121</definedName>
    <definedName name="ks_2340">#REF!</definedName>
    <definedName name="ks_2450" localSheetId="12">'2019 год'!$F$133</definedName>
    <definedName name="ks_2450">#REF!</definedName>
    <definedName name="ks_2550" localSheetId="12">'2019 год'!$F$143</definedName>
    <definedName name="ks_2550">#REF!</definedName>
    <definedName name="ks_700" localSheetId="12">'2019 год'!$F$35</definedName>
    <definedName name="ks_700">#REF!</definedName>
    <definedName name="ks_720" localSheetId="12">'2019 год'!$F$37</definedName>
    <definedName name="ks_720">#REF!</definedName>
    <definedName name="ks_730" localSheetId="12">'2019 год'!$F$38</definedName>
    <definedName name="ks_730">#REF!</definedName>
    <definedName name="ks_990" localSheetId="12">'2019 год'!$F$48</definedName>
    <definedName name="ks_990">#REF!</definedName>
    <definedName name="MO_LIST_10" localSheetId="12">[14]REESTR_MO!$B$63</definedName>
    <definedName name="MO_LIST_10">[1]REESTR_MO!$B$63</definedName>
    <definedName name="MONTH" localSheetId="12">[14]TEHSHEET!$D$2:$D$14</definedName>
    <definedName name="MONTH">[1]TEHSHEET!$D$2:$D$14</definedName>
    <definedName name="MR_LIST" localSheetId="12">[14]REESTR_MO!$E$2:$E$45</definedName>
    <definedName name="MR_LIST">[1]REESTR_MO!$E$2:$E$45</definedName>
    <definedName name="org" localSheetId="12">[14]Титульный!$G$15</definedName>
    <definedName name="org">[1]Титульный!$G$15</definedName>
    <definedName name="SAPBEXrevision" hidden="1">1</definedName>
    <definedName name="SAPBEXsysID" hidden="1">"BW2"</definedName>
    <definedName name="SAPBEXwbID" hidden="1">"479GSPMTNK9HM4ZSIVE5K2SH6"</definedName>
    <definedName name="start_11_1" localSheetId="12">'2019 год'!$E$18</definedName>
    <definedName name="start_11_1">#REF!</definedName>
    <definedName name="start_11_2" localSheetId="12">'2019 год'!$E$22</definedName>
    <definedName name="start_11_2">#REF!</definedName>
    <definedName name="start_11_3" localSheetId="12">'2019 год'!$E$25</definedName>
    <definedName name="start_11_3">#REF!</definedName>
    <definedName name="start_11_4" localSheetId="12">'2019 год'!$E$41</definedName>
    <definedName name="start_11_4">#REF!</definedName>
    <definedName name="start_11_5" localSheetId="12">'2019 год'!$E$57</definedName>
    <definedName name="start_11_5">#REF!</definedName>
    <definedName name="start_11_6" localSheetId="12">'2019 год'!$E$61</definedName>
    <definedName name="start_11_6">#REF!</definedName>
    <definedName name="start_11_7" localSheetId="12">'2019 год'!$E$64</definedName>
    <definedName name="start_11_7">#REF!</definedName>
    <definedName name="start_11_8" localSheetId="12">'2019 год'!$E$80</definedName>
    <definedName name="start_11_8">#REF!</definedName>
    <definedName name="type_report" localSheetId="12">[14]TEHSHEET!$G$2:$G$3</definedName>
    <definedName name="type_report">[1]TEHSHEET!$G$2:$G$3</definedName>
    <definedName name="URL_FORMAT" localSheetId="12">[14]TEHSHEET!$D$23</definedName>
    <definedName name="URL_FORMAT">[1]TEHSHEET!$D$23</definedName>
    <definedName name="version" localSheetId="12">[14]Инструкция!$B$3</definedName>
    <definedName name="version">[1]Инструкция!$B$3</definedName>
    <definedName name="YEAR" localSheetId="12">[14]TEHSHEET!$E$2:$E$6</definedName>
    <definedName name="YEAR">[1]TEHSHEET!$E$2:$E$6</definedName>
  </definedNames>
  <calcPr calcId="125725"/>
</workbook>
</file>

<file path=xl/calcChain.xml><?xml version="1.0" encoding="utf-8"?>
<calcChain xmlns="http://schemas.openxmlformats.org/spreadsheetml/2006/main">
  <c r="F155" i="16"/>
  <c r="I152"/>
  <c r="F152"/>
  <c r="I149"/>
  <c r="G149"/>
  <c r="H148"/>
  <c r="G147"/>
  <c r="H146"/>
  <c r="G145"/>
  <c r="G144"/>
  <c r="G143"/>
  <c r="K142"/>
  <c r="J142"/>
  <c r="I142"/>
  <c r="H142"/>
  <c r="G142" s="1"/>
  <c r="G141"/>
  <c r="G140"/>
  <c r="K139"/>
  <c r="K137" s="1"/>
  <c r="K136" s="1"/>
  <c r="J139"/>
  <c r="I139"/>
  <c r="H139"/>
  <c r="H137" s="1"/>
  <c r="G138"/>
  <c r="J137"/>
  <c r="J136" s="1"/>
  <c r="I137"/>
  <c r="I136" s="1"/>
  <c r="G135"/>
  <c r="G134"/>
  <c r="G133"/>
  <c r="K132"/>
  <c r="K130" s="1"/>
  <c r="J132"/>
  <c r="J130" s="1"/>
  <c r="I132"/>
  <c r="H132"/>
  <c r="G132"/>
  <c r="G131"/>
  <c r="I130"/>
  <c r="H130"/>
  <c r="G127"/>
  <c r="H126"/>
  <c r="G125"/>
  <c r="H124"/>
  <c r="G123"/>
  <c r="G122"/>
  <c r="G121"/>
  <c r="K120"/>
  <c r="J120"/>
  <c r="I120"/>
  <c r="H120"/>
  <c r="G120" s="1"/>
  <c r="G119"/>
  <c r="G118"/>
  <c r="G117"/>
  <c r="G116"/>
  <c r="G115"/>
  <c r="G114"/>
  <c r="K113"/>
  <c r="J113"/>
  <c r="I113"/>
  <c r="H113"/>
  <c r="G113" s="1"/>
  <c r="G112"/>
  <c r="G111"/>
  <c r="K110"/>
  <c r="J110"/>
  <c r="I110"/>
  <c r="H110"/>
  <c r="G110"/>
  <c r="G109"/>
  <c r="G108"/>
  <c r="K107"/>
  <c r="J107"/>
  <c r="J106" s="1"/>
  <c r="J104" s="1"/>
  <c r="J103" s="1"/>
  <c r="I107"/>
  <c r="I106" s="1"/>
  <c r="I104" s="1"/>
  <c r="I103" s="1"/>
  <c r="H107"/>
  <c r="K106"/>
  <c r="K104" s="1"/>
  <c r="K103" s="1"/>
  <c r="G105"/>
  <c r="G102"/>
  <c r="G101"/>
  <c r="G100"/>
  <c r="K99"/>
  <c r="J99"/>
  <c r="J97" s="1"/>
  <c r="I99"/>
  <c r="G99" s="1"/>
  <c r="H99"/>
  <c r="G98"/>
  <c r="K97"/>
  <c r="H97"/>
  <c r="G95"/>
  <c r="G94"/>
  <c r="G93"/>
  <c r="H90"/>
  <c r="K89"/>
  <c r="J89"/>
  <c r="I89"/>
  <c r="G89" s="1"/>
  <c r="G88"/>
  <c r="K87"/>
  <c r="K90" s="1"/>
  <c r="G86"/>
  <c r="G85"/>
  <c r="G83"/>
  <c r="K79"/>
  <c r="K73" s="1"/>
  <c r="J79"/>
  <c r="H79"/>
  <c r="G78"/>
  <c r="G77"/>
  <c r="K76"/>
  <c r="J76"/>
  <c r="J73" s="1"/>
  <c r="G75"/>
  <c r="G74"/>
  <c r="H73"/>
  <c r="G72"/>
  <c r="G71"/>
  <c r="G68"/>
  <c r="I67"/>
  <c r="H67"/>
  <c r="K63"/>
  <c r="J63"/>
  <c r="H63"/>
  <c r="K60"/>
  <c r="J60"/>
  <c r="I60"/>
  <c r="H60"/>
  <c r="G60" s="1"/>
  <c r="K56"/>
  <c r="K54" s="1"/>
  <c r="I56"/>
  <c r="H56"/>
  <c r="G55"/>
  <c r="K51"/>
  <c r="H51"/>
  <c r="G50"/>
  <c r="G49"/>
  <c r="K48"/>
  <c r="J48"/>
  <c r="J87" s="1"/>
  <c r="J90" s="1"/>
  <c r="I48"/>
  <c r="I87" s="1"/>
  <c r="G47"/>
  <c r="G46"/>
  <c r="G44"/>
  <c r="I42"/>
  <c r="I81" s="1"/>
  <c r="K40"/>
  <c r="J40"/>
  <c r="J34" s="1"/>
  <c r="I40"/>
  <c r="G40" s="1"/>
  <c r="H40"/>
  <c r="G39"/>
  <c r="G38"/>
  <c r="K37"/>
  <c r="J37"/>
  <c r="I37"/>
  <c r="I34" s="1"/>
  <c r="G36"/>
  <c r="G35"/>
  <c r="K34"/>
  <c r="K150" s="1"/>
  <c r="K148" s="1"/>
  <c r="K146" s="1"/>
  <c r="H34"/>
  <c r="G33"/>
  <c r="G32"/>
  <c r="G29"/>
  <c r="I28"/>
  <c r="H28"/>
  <c r="I26"/>
  <c r="I65" s="1"/>
  <c r="K24"/>
  <c r="J24"/>
  <c r="H24"/>
  <c r="K21"/>
  <c r="K15" s="1"/>
  <c r="J21"/>
  <c r="I21"/>
  <c r="H21"/>
  <c r="G21"/>
  <c r="J19"/>
  <c r="J58" s="1"/>
  <c r="K17"/>
  <c r="J17"/>
  <c r="J15" s="1"/>
  <c r="I17"/>
  <c r="G17" s="1"/>
  <c r="H17"/>
  <c r="G16"/>
  <c r="H15"/>
  <c r="H52" s="1"/>
  <c r="D9"/>
  <c r="I63" l="1"/>
  <c r="G65"/>
  <c r="G137"/>
  <c r="H136"/>
  <c r="G136" s="1"/>
  <c r="J56"/>
  <c r="G58"/>
  <c r="I79"/>
  <c r="G79" s="1"/>
  <c r="G81"/>
  <c r="I90"/>
  <c r="G90" s="1"/>
  <c r="G87"/>
  <c r="G34"/>
  <c r="I150"/>
  <c r="G130"/>
  <c r="J128"/>
  <c r="J126" s="1"/>
  <c r="J124" s="1"/>
  <c r="J150"/>
  <c r="J148" s="1"/>
  <c r="J146" s="1"/>
  <c r="I24"/>
  <c r="G24" s="1"/>
  <c r="I97"/>
  <c r="G97" s="1"/>
  <c r="H106"/>
  <c r="G107"/>
  <c r="K128"/>
  <c r="K126" s="1"/>
  <c r="K124" s="1"/>
  <c r="G37"/>
  <c r="J51"/>
  <c r="H54"/>
  <c r="I76"/>
  <c r="G139"/>
  <c r="G19"/>
  <c r="G26"/>
  <c r="G42"/>
  <c r="G48"/>
  <c r="I128" s="1"/>
  <c r="I51"/>
  <c r="G51" s="1"/>
  <c r="F153" i="14"/>
  <c r="I150"/>
  <c r="F150"/>
  <c r="K148"/>
  <c r="I147"/>
  <c r="G147"/>
  <c r="K146"/>
  <c r="H146"/>
  <c r="G145"/>
  <c r="K144"/>
  <c r="H144"/>
  <c r="G143"/>
  <c r="G142"/>
  <c r="G141"/>
  <c r="K140"/>
  <c r="J140"/>
  <c r="I140"/>
  <c r="H140"/>
  <c r="G140"/>
  <c r="G139"/>
  <c r="G138"/>
  <c r="K137"/>
  <c r="K135" s="1"/>
  <c r="K134" s="1"/>
  <c r="J137"/>
  <c r="J135" s="1"/>
  <c r="J134" s="1"/>
  <c r="I137"/>
  <c r="H137"/>
  <c r="G137" s="1"/>
  <c r="G136"/>
  <c r="I135"/>
  <c r="I134" s="1"/>
  <c r="H135"/>
  <c r="H134" s="1"/>
  <c r="G134" s="1"/>
  <c r="G133"/>
  <c r="G132"/>
  <c r="G131"/>
  <c r="K130"/>
  <c r="J130"/>
  <c r="J128" s="1"/>
  <c r="I130"/>
  <c r="G130" s="1"/>
  <c r="H130"/>
  <c r="G129"/>
  <c r="K128"/>
  <c r="I128"/>
  <c r="H128"/>
  <c r="G125"/>
  <c r="H124"/>
  <c r="G123"/>
  <c r="H122"/>
  <c r="G121"/>
  <c r="G120"/>
  <c r="G119"/>
  <c r="K118"/>
  <c r="J118"/>
  <c r="I118"/>
  <c r="G118" s="1"/>
  <c r="H118"/>
  <c r="G117"/>
  <c r="G116"/>
  <c r="G115"/>
  <c r="G114"/>
  <c r="G113"/>
  <c r="G112"/>
  <c r="K111"/>
  <c r="J111"/>
  <c r="I111"/>
  <c r="H111"/>
  <c r="G111" s="1"/>
  <c r="G110"/>
  <c r="G109"/>
  <c r="K108"/>
  <c r="J108"/>
  <c r="I108"/>
  <c r="G108" s="1"/>
  <c r="H108"/>
  <c r="G107"/>
  <c r="G106"/>
  <c r="K105"/>
  <c r="K104" s="1"/>
  <c r="K102" s="1"/>
  <c r="K101" s="1"/>
  <c r="J105"/>
  <c r="G105" s="1"/>
  <c r="I105"/>
  <c r="H105"/>
  <c r="H104" s="1"/>
  <c r="I104"/>
  <c r="I102" s="1"/>
  <c r="I101" s="1"/>
  <c r="G103"/>
  <c r="G100"/>
  <c r="G99"/>
  <c r="G98"/>
  <c r="K97"/>
  <c r="J97"/>
  <c r="G97" s="1"/>
  <c r="I97"/>
  <c r="H97"/>
  <c r="G96"/>
  <c r="K95"/>
  <c r="J95"/>
  <c r="G95" s="1"/>
  <c r="I95"/>
  <c r="H95"/>
  <c r="G93"/>
  <c r="G92"/>
  <c r="G91"/>
  <c r="K88"/>
  <c r="H88"/>
  <c r="K87"/>
  <c r="J87"/>
  <c r="G87" s="1"/>
  <c r="I87"/>
  <c r="G86"/>
  <c r="K85"/>
  <c r="J85"/>
  <c r="J88" s="1"/>
  <c r="I85"/>
  <c r="G85" s="1"/>
  <c r="G84"/>
  <c r="G83"/>
  <c r="G81"/>
  <c r="I79"/>
  <c r="G79"/>
  <c r="K77"/>
  <c r="J77"/>
  <c r="I77"/>
  <c r="G77" s="1"/>
  <c r="H77"/>
  <c r="G76"/>
  <c r="G75"/>
  <c r="K74"/>
  <c r="J74"/>
  <c r="J71" s="1"/>
  <c r="G73"/>
  <c r="G72"/>
  <c r="K71"/>
  <c r="H71"/>
  <c r="G70"/>
  <c r="G69"/>
  <c r="G66"/>
  <c r="I65"/>
  <c r="H65"/>
  <c r="I63"/>
  <c r="I61" s="1"/>
  <c r="G63"/>
  <c r="K61"/>
  <c r="J61"/>
  <c r="H61"/>
  <c r="K58"/>
  <c r="K53" s="1"/>
  <c r="J58"/>
  <c r="G58" s="1"/>
  <c r="I58"/>
  <c r="H58"/>
  <c r="H53" s="1"/>
  <c r="K55"/>
  <c r="J55"/>
  <c r="I55"/>
  <c r="G55" s="1"/>
  <c r="H55"/>
  <c r="G54"/>
  <c r="H50"/>
  <c r="G49"/>
  <c r="G48"/>
  <c r="K47"/>
  <c r="K50" s="1"/>
  <c r="J47"/>
  <c r="J50" s="1"/>
  <c r="I47"/>
  <c r="I50" s="1"/>
  <c r="G47"/>
  <c r="G46"/>
  <c r="G45"/>
  <c r="G43"/>
  <c r="I41"/>
  <c r="G41"/>
  <c r="K39"/>
  <c r="J39"/>
  <c r="I39"/>
  <c r="H39"/>
  <c r="G39" s="1"/>
  <c r="G38"/>
  <c r="G37"/>
  <c r="K36"/>
  <c r="J36"/>
  <c r="I36"/>
  <c r="I33" s="1"/>
  <c r="G35"/>
  <c r="G34"/>
  <c r="K33"/>
  <c r="K126" s="1"/>
  <c r="K124" s="1"/>
  <c r="K122" s="1"/>
  <c r="J33"/>
  <c r="J148" s="1"/>
  <c r="J146" s="1"/>
  <c r="J144" s="1"/>
  <c r="G32"/>
  <c r="G31"/>
  <c r="G28"/>
  <c r="I27"/>
  <c r="H27"/>
  <c r="I25"/>
  <c r="I23" s="1"/>
  <c r="G23" s="1"/>
  <c r="G25"/>
  <c r="K23"/>
  <c r="J23"/>
  <c r="H23"/>
  <c r="K20"/>
  <c r="K15" s="1"/>
  <c r="J20"/>
  <c r="J15" s="1"/>
  <c r="I20"/>
  <c r="G20" s="1"/>
  <c r="H20"/>
  <c r="K17"/>
  <c r="J17"/>
  <c r="I17"/>
  <c r="H17"/>
  <c r="G17" s="1"/>
  <c r="G16"/>
  <c r="D9"/>
  <c r="G128" i="16" l="1"/>
  <c r="I126"/>
  <c r="I148"/>
  <c r="G150"/>
  <c r="J54"/>
  <c r="G56"/>
  <c r="G63"/>
  <c r="I54"/>
  <c r="G54"/>
  <c r="H91"/>
  <c r="G76"/>
  <c r="I73"/>
  <c r="G73" s="1"/>
  <c r="I15"/>
  <c r="H104"/>
  <c r="G106"/>
  <c r="H102" i="14"/>
  <c r="H15"/>
  <c r="I126"/>
  <c r="I148"/>
  <c r="G148" s="1"/>
  <c r="I146"/>
  <c r="H89"/>
  <c r="G50"/>
  <c r="G128"/>
  <c r="I53"/>
  <c r="G53" s="1"/>
  <c r="G61"/>
  <c r="I15"/>
  <c r="J53"/>
  <c r="J104"/>
  <c r="J102" s="1"/>
  <c r="J101" s="1"/>
  <c r="J126"/>
  <c r="J124" s="1"/>
  <c r="J122" s="1"/>
  <c r="I88"/>
  <c r="G88" s="1"/>
  <c r="H33"/>
  <c r="G33" s="1"/>
  <c r="G36"/>
  <c r="I74"/>
  <c r="G135"/>
  <c r="I45" i="16" l="1"/>
  <c r="I52"/>
  <c r="J30"/>
  <c r="G15"/>
  <c r="G104"/>
  <c r="H103"/>
  <c r="G103" s="1"/>
  <c r="G126"/>
  <c r="I124"/>
  <c r="G124" s="1"/>
  <c r="G148"/>
  <c r="I146"/>
  <c r="G146" s="1"/>
  <c r="H101" i="14"/>
  <c r="G101" s="1"/>
  <c r="G102"/>
  <c r="I71"/>
  <c r="G71" s="1"/>
  <c r="G74"/>
  <c r="I144"/>
  <c r="G144" s="1"/>
  <c r="G146"/>
  <c r="I44"/>
  <c r="I51"/>
  <c r="J29"/>
  <c r="I124"/>
  <c r="G126"/>
  <c r="H51"/>
  <c r="G15"/>
  <c r="G104"/>
  <c r="I84" i="16" l="1"/>
  <c r="J69"/>
  <c r="G30"/>
  <c r="J28"/>
  <c r="J45"/>
  <c r="J84" s="1"/>
  <c r="G124" i="14"/>
  <c r="I122"/>
  <c r="G122" s="1"/>
  <c r="J44"/>
  <c r="J82" s="1"/>
  <c r="J67"/>
  <c r="G29"/>
  <c r="J27"/>
  <c r="I82"/>
  <c r="G44"/>
  <c r="J67" i="16" l="1"/>
  <c r="G69"/>
  <c r="J52"/>
  <c r="K31"/>
  <c r="G84"/>
  <c r="I91"/>
  <c r="G45"/>
  <c r="K30" i="14"/>
  <c r="J51"/>
  <c r="G67"/>
  <c r="J65"/>
  <c r="G82"/>
  <c r="I89"/>
  <c r="K70" i="16" l="1"/>
  <c r="G31"/>
  <c r="K28"/>
  <c r="J91"/>
  <c r="K27" i="14"/>
  <c r="K68"/>
  <c r="G30"/>
  <c r="J89"/>
  <c r="G70" i="16" l="1"/>
  <c r="K67"/>
  <c r="K52"/>
  <c r="G52" s="1"/>
  <c r="G28"/>
  <c r="G68" i="14"/>
  <c r="K65"/>
  <c r="K51"/>
  <c r="G51" s="1"/>
  <c r="G27"/>
  <c r="K91" i="16" l="1"/>
  <c r="G91" s="1"/>
  <c r="G67"/>
  <c r="K89" i="14"/>
  <c r="G89" s="1"/>
  <c r="G65"/>
  <c r="F153" i="13" l="1"/>
  <c r="I150"/>
  <c r="F150"/>
  <c r="K148"/>
  <c r="K146" s="1"/>
  <c r="K144" s="1"/>
  <c r="I147"/>
  <c r="G147"/>
  <c r="H146"/>
  <c r="G145"/>
  <c r="H144"/>
  <c r="G143"/>
  <c r="G142"/>
  <c r="G141"/>
  <c r="K140"/>
  <c r="J140"/>
  <c r="I140"/>
  <c r="H140"/>
  <c r="G140"/>
  <c r="G139"/>
  <c r="G138"/>
  <c r="K137"/>
  <c r="K135" s="1"/>
  <c r="K134" s="1"/>
  <c r="J137"/>
  <c r="I137"/>
  <c r="H137"/>
  <c r="G137" s="1"/>
  <c r="G136"/>
  <c r="J135"/>
  <c r="J134" s="1"/>
  <c r="I135"/>
  <c r="I134" s="1"/>
  <c r="G133"/>
  <c r="G132"/>
  <c r="G131"/>
  <c r="K130"/>
  <c r="K128" s="1"/>
  <c r="J130"/>
  <c r="J128" s="1"/>
  <c r="I130"/>
  <c r="G130" s="1"/>
  <c r="H130"/>
  <c r="G129"/>
  <c r="I128"/>
  <c r="H128"/>
  <c r="G125"/>
  <c r="H124"/>
  <c r="G123"/>
  <c r="H122"/>
  <c r="G121"/>
  <c r="G120"/>
  <c r="G119"/>
  <c r="K118"/>
  <c r="J118"/>
  <c r="I118"/>
  <c r="H118"/>
  <c r="G118" s="1"/>
  <c r="G117"/>
  <c r="G116"/>
  <c r="G115"/>
  <c r="G114"/>
  <c r="G113"/>
  <c r="G112"/>
  <c r="K111"/>
  <c r="J111"/>
  <c r="I111"/>
  <c r="H111"/>
  <c r="G111" s="1"/>
  <c r="G110"/>
  <c r="G109"/>
  <c r="K108"/>
  <c r="J108"/>
  <c r="I108"/>
  <c r="H108"/>
  <c r="G108" s="1"/>
  <c r="G107"/>
  <c r="G106"/>
  <c r="K105"/>
  <c r="K104" s="1"/>
  <c r="K102" s="1"/>
  <c r="K101" s="1"/>
  <c r="J105"/>
  <c r="G105" s="1"/>
  <c r="I105"/>
  <c r="H105"/>
  <c r="I104"/>
  <c r="I102" s="1"/>
  <c r="I101" s="1"/>
  <c r="G103"/>
  <c r="G100"/>
  <c r="G99"/>
  <c r="G98"/>
  <c r="K97"/>
  <c r="J97"/>
  <c r="G97" s="1"/>
  <c r="I97"/>
  <c r="H97"/>
  <c r="G96"/>
  <c r="K95"/>
  <c r="J95"/>
  <c r="G95" s="1"/>
  <c r="I95"/>
  <c r="H95"/>
  <c r="G93"/>
  <c r="G92"/>
  <c r="G91"/>
  <c r="K88"/>
  <c r="H88"/>
  <c r="K87"/>
  <c r="J87"/>
  <c r="I87"/>
  <c r="G87" s="1"/>
  <c r="G86"/>
  <c r="K85"/>
  <c r="J85"/>
  <c r="J88" s="1"/>
  <c r="I85"/>
  <c r="G85" s="1"/>
  <c r="G84"/>
  <c r="G83"/>
  <c r="G81"/>
  <c r="K77"/>
  <c r="J77"/>
  <c r="H77"/>
  <c r="G76"/>
  <c r="G75"/>
  <c r="K74"/>
  <c r="J74"/>
  <c r="J71" s="1"/>
  <c r="G73"/>
  <c r="G72"/>
  <c r="K71"/>
  <c r="H71"/>
  <c r="G70"/>
  <c r="G69"/>
  <c r="G66"/>
  <c r="I65"/>
  <c r="H65"/>
  <c r="I63"/>
  <c r="I61" s="1"/>
  <c r="G61" s="1"/>
  <c r="G63"/>
  <c r="K61"/>
  <c r="J61"/>
  <c r="H61"/>
  <c r="H53" s="1"/>
  <c r="K58"/>
  <c r="K53" s="1"/>
  <c r="J58"/>
  <c r="G58" s="1"/>
  <c r="I58"/>
  <c r="H58"/>
  <c r="K55"/>
  <c r="J55"/>
  <c r="I55"/>
  <c r="H55"/>
  <c r="G54"/>
  <c r="H50"/>
  <c r="G49"/>
  <c r="G48"/>
  <c r="K47"/>
  <c r="K50" s="1"/>
  <c r="J47"/>
  <c r="J50" s="1"/>
  <c r="I47"/>
  <c r="I50" s="1"/>
  <c r="G50" s="1"/>
  <c r="G47"/>
  <c r="G46"/>
  <c r="G45"/>
  <c r="G43"/>
  <c r="I41"/>
  <c r="I79" s="1"/>
  <c r="K39"/>
  <c r="J39"/>
  <c r="I39"/>
  <c r="H39"/>
  <c r="G39" s="1"/>
  <c r="G38"/>
  <c r="G37"/>
  <c r="K36"/>
  <c r="J36"/>
  <c r="J33" s="1"/>
  <c r="I36"/>
  <c r="I74" s="1"/>
  <c r="G35"/>
  <c r="G34"/>
  <c r="K33"/>
  <c r="K126" s="1"/>
  <c r="K124" s="1"/>
  <c r="K122" s="1"/>
  <c r="G32"/>
  <c r="G31"/>
  <c r="G28"/>
  <c r="I27"/>
  <c r="H27"/>
  <c r="I25"/>
  <c r="I23" s="1"/>
  <c r="G23" s="1"/>
  <c r="G25"/>
  <c r="K23"/>
  <c r="J23"/>
  <c r="H23"/>
  <c r="K20"/>
  <c r="K15" s="1"/>
  <c r="J20"/>
  <c r="J15" s="1"/>
  <c r="I20"/>
  <c r="H20"/>
  <c r="G20" s="1"/>
  <c r="K17"/>
  <c r="J17"/>
  <c r="I17"/>
  <c r="H17"/>
  <c r="G17" s="1"/>
  <c r="G16"/>
  <c r="D9"/>
  <c r="G74" l="1"/>
  <c r="J148"/>
  <c r="J146" s="1"/>
  <c r="J144" s="1"/>
  <c r="J126"/>
  <c r="J124" s="1"/>
  <c r="J122" s="1"/>
  <c r="G79"/>
  <c r="I77"/>
  <c r="I71" s="1"/>
  <c r="G71" s="1"/>
  <c r="I15"/>
  <c r="I53"/>
  <c r="H89"/>
  <c r="G77"/>
  <c r="G128"/>
  <c r="I33"/>
  <c r="H135"/>
  <c r="J53"/>
  <c r="J104"/>
  <c r="J102" s="1"/>
  <c r="J101" s="1"/>
  <c r="G41"/>
  <c r="G55"/>
  <c r="I88"/>
  <c r="G88" s="1"/>
  <c r="H15"/>
  <c r="H33"/>
  <c r="G33" s="1"/>
  <c r="G36"/>
  <c r="H104"/>
  <c r="I148" l="1"/>
  <c r="I126"/>
  <c r="G53"/>
  <c r="H51"/>
  <c r="G15"/>
  <c r="G135"/>
  <c r="H134"/>
  <c r="G134" s="1"/>
  <c r="H102"/>
  <c r="G104"/>
  <c r="J29"/>
  <c r="I44"/>
  <c r="I51"/>
  <c r="G126" l="1"/>
  <c r="I124"/>
  <c r="J44"/>
  <c r="J82" s="1"/>
  <c r="J27"/>
  <c r="J67"/>
  <c r="G29"/>
  <c r="G102"/>
  <c r="H101"/>
  <c r="G101" s="1"/>
  <c r="G148"/>
  <c r="I146"/>
  <c r="I82"/>
  <c r="G44"/>
  <c r="J65" l="1"/>
  <c r="G67"/>
  <c r="G82"/>
  <c r="I89"/>
  <c r="I144"/>
  <c r="G144" s="1"/>
  <c r="G146"/>
  <c r="K30"/>
  <c r="J51"/>
  <c r="I122"/>
  <c r="G122" s="1"/>
  <c r="G124"/>
  <c r="G30" l="1"/>
  <c r="K27"/>
  <c r="K68"/>
  <c r="J89"/>
  <c r="K65" l="1"/>
  <c r="G68"/>
  <c r="K51"/>
  <c r="G51" s="1"/>
  <c r="G27"/>
  <c r="K89" l="1"/>
  <c r="G89" s="1"/>
  <c r="G65"/>
  <c r="F155" i="12" l="1"/>
  <c r="I152"/>
  <c r="F152"/>
  <c r="I149"/>
  <c r="G149"/>
  <c r="H148"/>
  <c r="G147"/>
  <c r="H146"/>
  <c r="G145"/>
  <c r="G144"/>
  <c r="G143"/>
  <c r="K142"/>
  <c r="J142"/>
  <c r="I142"/>
  <c r="H142"/>
  <c r="G142"/>
  <c r="G141"/>
  <c r="G140"/>
  <c r="K139"/>
  <c r="J139"/>
  <c r="I139"/>
  <c r="H139"/>
  <c r="G139" s="1"/>
  <c r="G138"/>
  <c r="K137"/>
  <c r="K136" s="1"/>
  <c r="J137"/>
  <c r="J136" s="1"/>
  <c r="I137"/>
  <c r="I136" s="1"/>
  <c r="H137"/>
  <c r="H136" s="1"/>
  <c r="G135"/>
  <c r="G134"/>
  <c r="G133"/>
  <c r="K132"/>
  <c r="J132"/>
  <c r="I132"/>
  <c r="I130" s="1"/>
  <c r="G130" s="1"/>
  <c r="H132"/>
  <c r="G131"/>
  <c r="K130"/>
  <c r="J130"/>
  <c r="H130"/>
  <c r="J128"/>
  <c r="J126" s="1"/>
  <c r="J124" s="1"/>
  <c r="G127"/>
  <c r="H126"/>
  <c r="G125"/>
  <c r="H124"/>
  <c r="G123"/>
  <c r="G122"/>
  <c r="G121"/>
  <c r="K120"/>
  <c r="J120"/>
  <c r="I120"/>
  <c r="G120" s="1"/>
  <c r="H120"/>
  <c r="G119"/>
  <c r="G118"/>
  <c r="G117"/>
  <c r="G116"/>
  <c r="G115"/>
  <c r="G114"/>
  <c r="K113"/>
  <c r="J113"/>
  <c r="I113"/>
  <c r="H113"/>
  <c r="G113" s="1"/>
  <c r="G112"/>
  <c r="G111"/>
  <c r="K110"/>
  <c r="J110"/>
  <c r="I110"/>
  <c r="G110" s="1"/>
  <c r="H110"/>
  <c r="G109"/>
  <c r="G108"/>
  <c r="K107"/>
  <c r="K106" s="1"/>
  <c r="K104" s="1"/>
  <c r="K103" s="1"/>
  <c r="J107"/>
  <c r="G107" s="1"/>
  <c r="I107"/>
  <c r="H107"/>
  <c r="H106" s="1"/>
  <c r="I106"/>
  <c r="I104" s="1"/>
  <c r="I103" s="1"/>
  <c r="G105"/>
  <c r="G102"/>
  <c r="G101"/>
  <c r="G100"/>
  <c r="K99"/>
  <c r="J99"/>
  <c r="G99" s="1"/>
  <c r="I99"/>
  <c r="H99"/>
  <c r="G98"/>
  <c r="K97"/>
  <c r="J97"/>
  <c r="G97" s="1"/>
  <c r="I97"/>
  <c r="H97"/>
  <c r="G95"/>
  <c r="G94"/>
  <c r="G93"/>
  <c r="H91"/>
  <c r="H90"/>
  <c r="K89"/>
  <c r="J89"/>
  <c r="G89" s="1"/>
  <c r="I89"/>
  <c r="G88"/>
  <c r="J87"/>
  <c r="J90" s="1"/>
  <c r="I87"/>
  <c r="G86"/>
  <c r="G85"/>
  <c r="G83"/>
  <c r="K79"/>
  <c r="J79"/>
  <c r="H79"/>
  <c r="G78"/>
  <c r="G77"/>
  <c r="K76"/>
  <c r="J76"/>
  <c r="J73" s="1"/>
  <c r="G75"/>
  <c r="G74"/>
  <c r="K73"/>
  <c r="H73"/>
  <c r="G72"/>
  <c r="G71"/>
  <c r="G68"/>
  <c r="I67"/>
  <c r="H67"/>
  <c r="K63"/>
  <c r="J63"/>
  <c r="H63"/>
  <c r="K60"/>
  <c r="J60"/>
  <c r="G60" s="1"/>
  <c r="I60"/>
  <c r="H60"/>
  <c r="K56"/>
  <c r="K54" s="1"/>
  <c r="I56"/>
  <c r="H56"/>
  <c r="G55"/>
  <c r="H54"/>
  <c r="J51"/>
  <c r="I51"/>
  <c r="H51"/>
  <c r="K50"/>
  <c r="G50"/>
  <c r="G49"/>
  <c r="K48"/>
  <c r="K87" s="1"/>
  <c r="K90" s="1"/>
  <c r="J48"/>
  <c r="I48"/>
  <c r="G47"/>
  <c r="G46"/>
  <c r="G44"/>
  <c r="I42"/>
  <c r="I81" s="1"/>
  <c r="G42"/>
  <c r="K40"/>
  <c r="K34" s="1"/>
  <c r="J40"/>
  <c r="H40"/>
  <c r="G39"/>
  <c r="G38"/>
  <c r="K37"/>
  <c r="J37"/>
  <c r="I37"/>
  <c r="I76" s="1"/>
  <c r="G37"/>
  <c r="G36"/>
  <c r="G35"/>
  <c r="J34"/>
  <c r="J150" s="1"/>
  <c r="J148" s="1"/>
  <c r="J146" s="1"/>
  <c r="H34"/>
  <c r="G33"/>
  <c r="G32"/>
  <c r="G29"/>
  <c r="I28"/>
  <c r="H28"/>
  <c r="I26"/>
  <c r="I65" s="1"/>
  <c r="K24"/>
  <c r="J24"/>
  <c r="H24"/>
  <c r="K21"/>
  <c r="J21"/>
  <c r="I21"/>
  <c r="H21"/>
  <c r="G21"/>
  <c r="J19"/>
  <c r="J17" s="1"/>
  <c r="K17"/>
  <c r="I17"/>
  <c r="H17"/>
  <c r="G16"/>
  <c r="K15"/>
  <c r="H15"/>
  <c r="H52" s="1"/>
  <c r="D9"/>
  <c r="G76" l="1"/>
  <c r="H104"/>
  <c r="I63"/>
  <c r="G65"/>
  <c r="K150"/>
  <c r="K148" s="1"/>
  <c r="K146" s="1"/>
  <c r="K128"/>
  <c r="K126" s="1"/>
  <c r="K124" s="1"/>
  <c r="I15"/>
  <c r="I79"/>
  <c r="G79" s="1"/>
  <c r="G81"/>
  <c r="G136"/>
  <c r="J15"/>
  <c r="G17"/>
  <c r="G87"/>
  <c r="J106"/>
  <c r="J104" s="1"/>
  <c r="J103" s="1"/>
  <c r="K51"/>
  <c r="G51" s="1"/>
  <c r="G48"/>
  <c r="I40"/>
  <c r="G40" s="1"/>
  <c r="I90"/>
  <c r="G90" s="1"/>
  <c r="G132"/>
  <c r="G19"/>
  <c r="G26"/>
  <c r="G137"/>
  <c r="I24"/>
  <c r="G24" s="1"/>
  <c r="J58"/>
  <c r="H103" l="1"/>
  <c r="G103" s="1"/>
  <c r="G104"/>
  <c r="I73"/>
  <c r="G73" s="1"/>
  <c r="I34"/>
  <c r="I54"/>
  <c r="G63"/>
  <c r="G15"/>
  <c r="I45"/>
  <c r="J30"/>
  <c r="G58"/>
  <c r="J56"/>
  <c r="G106"/>
  <c r="I84" l="1"/>
  <c r="I128"/>
  <c r="G34"/>
  <c r="I150"/>
  <c r="J69"/>
  <c r="J28"/>
  <c r="G30"/>
  <c r="J45"/>
  <c r="J84" s="1"/>
  <c r="I52"/>
  <c r="J54"/>
  <c r="G56"/>
  <c r="I126" l="1"/>
  <c r="G128"/>
  <c r="G150"/>
  <c r="I148"/>
  <c r="G54"/>
  <c r="G45"/>
  <c r="J52"/>
  <c r="K31"/>
  <c r="G84"/>
  <c r="J67"/>
  <c r="G69"/>
  <c r="I91"/>
  <c r="I124" l="1"/>
  <c r="G124" s="1"/>
  <c r="G126"/>
  <c r="G148"/>
  <c r="I146"/>
  <c r="G146" s="1"/>
  <c r="K70"/>
  <c r="K28"/>
  <c r="G31"/>
  <c r="J91"/>
  <c r="K52" l="1"/>
  <c r="G52" s="1"/>
  <c r="G28"/>
  <c r="K67"/>
  <c r="G70"/>
  <c r="K91" l="1"/>
  <c r="G91" s="1"/>
  <c r="G67"/>
  <c r="F155" i="11" l="1"/>
  <c r="I152"/>
  <c r="F152"/>
  <c r="I149"/>
  <c r="G149"/>
  <c r="H148"/>
  <c r="G147"/>
  <c r="H146"/>
  <c r="G145"/>
  <c r="G144"/>
  <c r="G143"/>
  <c r="K142"/>
  <c r="J142"/>
  <c r="I142"/>
  <c r="H142"/>
  <c r="G142"/>
  <c r="G141"/>
  <c r="G140"/>
  <c r="K139"/>
  <c r="J139"/>
  <c r="I139"/>
  <c r="H139"/>
  <c r="G139" s="1"/>
  <c r="G138"/>
  <c r="K137"/>
  <c r="K136" s="1"/>
  <c r="J137"/>
  <c r="J136" s="1"/>
  <c r="I137"/>
  <c r="I136" s="1"/>
  <c r="H137"/>
  <c r="H136" s="1"/>
  <c r="G136" s="1"/>
  <c r="G135"/>
  <c r="G134"/>
  <c r="G133"/>
  <c r="K132"/>
  <c r="J132"/>
  <c r="I132"/>
  <c r="G132" s="1"/>
  <c r="H132"/>
  <c r="G131"/>
  <c r="K130"/>
  <c r="J130"/>
  <c r="I130"/>
  <c r="G130" s="1"/>
  <c r="H130"/>
  <c r="J128"/>
  <c r="J126" s="1"/>
  <c r="J124" s="1"/>
  <c r="G127"/>
  <c r="H126"/>
  <c r="G125"/>
  <c r="H124"/>
  <c r="G123"/>
  <c r="G122"/>
  <c r="G121"/>
  <c r="K120"/>
  <c r="J120"/>
  <c r="I120"/>
  <c r="G120" s="1"/>
  <c r="H120"/>
  <c r="G119"/>
  <c r="G118"/>
  <c r="G117"/>
  <c r="G116"/>
  <c r="G115"/>
  <c r="G114"/>
  <c r="K113"/>
  <c r="J113"/>
  <c r="I113"/>
  <c r="H113"/>
  <c r="G113" s="1"/>
  <c r="G112"/>
  <c r="G111"/>
  <c r="K110"/>
  <c r="J110"/>
  <c r="I110"/>
  <c r="G110" s="1"/>
  <c r="H110"/>
  <c r="G109"/>
  <c r="G108"/>
  <c r="K107"/>
  <c r="K106" s="1"/>
  <c r="K104" s="1"/>
  <c r="K103" s="1"/>
  <c r="J107"/>
  <c r="G107" s="1"/>
  <c r="I107"/>
  <c r="H107"/>
  <c r="H106" s="1"/>
  <c r="I106"/>
  <c r="I104" s="1"/>
  <c r="I103" s="1"/>
  <c r="G105"/>
  <c r="G102"/>
  <c r="G101"/>
  <c r="G100"/>
  <c r="K99"/>
  <c r="J99"/>
  <c r="G99" s="1"/>
  <c r="I99"/>
  <c r="H99"/>
  <c r="G98"/>
  <c r="K97"/>
  <c r="I97"/>
  <c r="H97"/>
  <c r="G95"/>
  <c r="G94"/>
  <c r="G93"/>
  <c r="H91"/>
  <c r="H90"/>
  <c r="K89"/>
  <c r="J89"/>
  <c r="G89" s="1"/>
  <c r="I89"/>
  <c r="G88"/>
  <c r="J87"/>
  <c r="J90" s="1"/>
  <c r="I87"/>
  <c r="G86"/>
  <c r="G85"/>
  <c r="G83"/>
  <c r="K79"/>
  <c r="J79"/>
  <c r="I79"/>
  <c r="G79" s="1"/>
  <c r="H79"/>
  <c r="G78"/>
  <c r="G77"/>
  <c r="K76"/>
  <c r="K73" s="1"/>
  <c r="J76"/>
  <c r="J73" s="1"/>
  <c r="G75"/>
  <c r="G74"/>
  <c r="H73"/>
  <c r="G72"/>
  <c r="G71"/>
  <c r="G68"/>
  <c r="I67"/>
  <c r="H67"/>
  <c r="K63"/>
  <c r="J63"/>
  <c r="H63"/>
  <c r="K60"/>
  <c r="J60"/>
  <c r="G60" s="1"/>
  <c r="I60"/>
  <c r="H60"/>
  <c r="K56"/>
  <c r="K54" s="1"/>
  <c r="I56"/>
  <c r="H56"/>
  <c r="G55"/>
  <c r="H54"/>
  <c r="J51"/>
  <c r="I51"/>
  <c r="H51"/>
  <c r="K50"/>
  <c r="G50"/>
  <c r="G49"/>
  <c r="K48"/>
  <c r="J48"/>
  <c r="I48"/>
  <c r="G47"/>
  <c r="G46"/>
  <c r="G44"/>
  <c r="I42"/>
  <c r="I81" s="1"/>
  <c r="G81" s="1"/>
  <c r="G42"/>
  <c r="K40"/>
  <c r="K34" s="1"/>
  <c r="J40"/>
  <c r="H40"/>
  <c r="G39"/>
  <c r="G38"/>
  <c r="K37"/>
  <c r="J37"/>
  <c r="I37"/>
  <c r="I76" s="1"/>
  <c r="G37"/>
  <c r="G36"/>
  <c r="G35"/>
  <c r="J34"/>
  <c r="J150" s="1"/>
  <c r="J148" s="1"/>
  <c r="J146" s="1"/>
  <c r="H34"/>
  <c r="G33"/>
  <c r="G32"/>
  <c r="G29"/>
  <c r="I28"/>
  <c r="H28"/>
  <c r="I26"/>
  <c r="K24"/>
  <c r="J24"/>
  <c r="H24"/>
  <c r="K21"/>
  <c r="J21"/>
  <c r="I21"/>
  <c r="H21"/>
  <c r="G21"/>
  <c r="J19"/>
  <c r="K17"/>
  <c r="I17"/>
  <c r="H17"/>
  <c r="G16"/>
  <c r="K15"/>
  <c r="H15"/>
  <c r="H52" s="1"/>
  <c r="D9"/>
  <c r="I73" l="1"/>
  <c r="G73" s="1"/>
  <c r="G76"/>
  <c r="I90"/>
  <c r="I24"/>
  <c r="G24" s="1"/>
  <c r="G26"/>
  <c r="I65"/>
  <c r="K128"/>
  <c r="K126" s="1"/>
  <c r="K124" s="1"/>
  <c r="K150"/>
  <c r="K148" s="1"/>
  <c r="K146" s="1"/>
  <c r="J97"/>
  <c r="G97" s="1"/>
  <c r="H104"/>
  <c r="G106"/>
  <c r="J17"/>
  <c r="G19"/>
  <c r="J58"/>
  <c r="G51"/>
  <c r="G48"/>
  <c r="K87"/>
  <c r="K90" s="1"/>
  <c r="K51"/>
  <c r="J106"/>
  <c r="J104" s="1"/>
  <c r="J103" s="1"/>
  <c r="I40"/>
  <c r="G137"/>
  <c r="I63" l="1"/>
  <c r="G65"/>
  <c r="G104"/>
  <c r="H103"/>
  <c r="G103" s="1"/>
  <c r="I34"/>
  <c r="G40"/>
  <c r="J56"/>
  <c r="G58"/>
  <c r="I15"/>
  <c r="G90"/>
  <c r="J15"/>
  <c r="G17"/>
  <c r="G87"/>
  <c r="J30" l="1"/>
  <c r="I52"/>
  <c r="I45"/>
  <c r="G15"/>
  <c r="J54"/>
  <c r="G56"/>
  <c r="G63"/>
  <c r="I54"/>
  <c r="I150"/>
  <c r="I128"/>
  <c r="G34"/>
  <c r="G54" l="1"/>
  <c r="G30"/>
  <c r="J69"/>
  <c r="J28"/>
  <c r="J45"/>
  <c r="J84" s="1"/>
  <c r="G128"/>
  <c r="I126"/>
  <c r="G150"/>
  <c r="I148"/>
  <c r="I84"/>
  <c r="G84" s="1"/>
  <c r="G45"/>
  <c r="I124" l="1"/>
  <c r="G124" s="1"/>
  <c r="G126"/>
  <c r="I91"/>
  <c r="I146"/>
  <c r="G146" s="1"/>
  <c r="G148"/>
  <c r="K31"/>
  <c r="J52"/>
  <c r="G69"/>
  <c r="J67"/>
  <c r="J91" l="1"/>
  <c r="G31"/>
  <c r="K28"/>
  <c r="K70"/>
  <c r="K52" l="1"/>
  <c r="G52" s="1"/>
  <c r="G28"/>
  <c r="K67"/>
  <c r="G70"/>
  <c r="K91" l="1"/>
  <c r="G91" s="1"/>
  <c r="G67"/>
  <c r="F155" i="10" l="1"/>
  <c r="I152"/>
  <c r="F152"/>
  <c r="I149"/>
  <c r="G149" s="1"/>
  <c r="H148"/>
  <c r="H146" s="1"/>
  <c r="G147"/>
  <c r="G145"/>
  <c r="G144"/>
  <c r="G143"/>
  <c r="K142"/>
  <c r="J142"/>
  <c r="I142"/>
  <c r="G142" s="1"/>
  <c r="H142"/>
  <c r="G141"/>
  <c r="G140"/>
  <c r="K139"/>
  <c r="J139"/>
  <c r="I139"/>
  <c r="H139"/>
  <c r="G139" s="1"/>
  <c r="G138"/>
  <c r="K137"/>
  <c r="K136" s="1"/>
  <c r="J137"/>
  <c r="J136" s="1"/>
  <c r="I137"/>
  <c r="H137"/>
  <c r="H136" s="1"/>
  <c r="G136" s="1"/>
  <c r="I136"/>
  <c r="G135"/>
  <c r="G134"/>
  <c r="G133"/>
  <c r="K132"/>
  <c r="G132" s="1"/>
  <c r="J132"/>
  <c r="I132"/>
  <c r="H132"/>
  <c r="G131"/>
  <c r="K130"/>
  <c r="G130" s="1"/>
  <c r="J130"/>
  <c r="I130"/>
  <c r="H130"/>
  <c r="J128"/>
  <c r="J126" s="1"/>
  <c r="J124" s="1"/>
  <c r="G127"/>
  <c r="H126"/>
  <c r="G125"/>
  <c r="H124"/>
  <c r="G123"/>
  <c r="G122"/>
  <c r="G121"/>
  <c r="K120"/>
  <c r="G120" s="1"/>
  <c r="J120"/>
  <c r="I120"/>
  <c r="H120"/>
  <c r="G119"/>
  <c r="G118"/>
  <c r="G117"/>
  <c r="G116"/>
  <c r="G115"/>
  <c r="G114"/>
  <c r="K113"/>
  <c r="J113"/>
  <c r="I113"/>
  <c r="H113"/>
  <c r="G113" s="1"/>
  <c r="G112"/>
  <c r="G111"/>
  <c r="K110"/>
  <c r="G110" s="1"/>
  <c r="J110"/>
  <c r="I110"/>
  <c r="H110"/>
  <c r="G109"/>
  <c r="G108"/>
  <c r="K107"/>
  <c r="J107"/>
  <c r="J106" s="1"/>
  <c r="J104" s="1"/>
  <c r="J103" s="1"/>
  <c r="I107"/>
  <c r="H107"/>
  <c r="H106" s="1"/>
  <c r="G107"/>
  <c r="K106"/>
  <c r="K104" s="1"/>
  <c r="K103" s="1"/>
  <c r="I106"/>
  <c r="G105"/>
  <c r="I104"/>
  <c r="I103" s="1"/>
  <c r="G102"/>
  <c r="G101"/>
  <c r="G100"/>
  <c r="K99"/>
  <c r="J99"/>
  <c r="I99"/>
  <c r="H99"/>
  <c r="G99"/>
  <c r="G98"/>
  <c r="K97"/>
  <c r="J97"/>
  <c r="I97"/>
  <c r="H97"/>
  <c r="G97"/>
  <c r="G95"/>
  <c r="G94"/>
  <c r="G93"/>
  <c r="H91"/>
  <c r="H90"/>
  <c r="J89"/>
  <c r="I89"/>
  <c r="G88"/>
  <c r="K87"/>
  <c r="G86"/>
  <c r="G85"/>
  <c r="G83"/>
  <c r="K79"/>
  <c r="J79"/>
  <c r="H79"/>
  <c r="G78"/>
  <c r="G77"/>
  <c r="G75"/>
  <c r="G74"/>
  <c r="H73"/>
  <c r="G72"/>
  <c r="G71"/>
  <c r="G68"/>
  <c r="I67"/>
  <c r="H67"/>
  <c r="I65"/>
  <c r="G65" s="1"/>
  <c r="K63"/>
  <c r="J63"/>
  <c r="H63"/>
  <c r="K60"/>
  <c r="J60"/>
  <c r="I60"/>
  <c r="H60"/>
  <c r="G60"/>
  <c r="J58"/>
  <c r="G58" s="1"/>
  <c r="K56"/>
  <c r="I56"/>
  <c r="H56"/>
  <c r="G55"/>
  <c r="K54"/>
  <c r="H54"/>
  <c r="K51"/>
  <c r="J51"/>
  <c r="H51"/>
  <c r="K50"/>
  <c r="K89" s="1"/>
  <c r="G89" s="1"/>
  <c r="G50"/>
  <c r="G49"/>
  <c r="K48"/>
  <c r="J48"/>
  <c r="J87" s="1"/>
  <c r="J90" s="1"/>
  <c r="I48"/>
  <c r="I87" s="1"/>
  <c r="G48"/>
  <c r="G47"/>
  <c r="G46"/>
  <c r="G44"/>
  <c r="I42"/>
  <c r="G42" s="1"/>
  <c r="K40"/>
  <c r="K34" s="1"/>
  <c r="J40"/>
  <c r="H40"/>
  <c r="G39"/>
  <c r="G38"/>
  <c r="K37"/>
  <c r="K76" s="1"/>
  <c r="K73" s="1"/>
  <c r="J37"/>
  <c r="J76" s="1"/>
  <c r="J73" s="1"/>
  <c r="I37"/>
  <c r="I76" s="1"/>
  <c r="G37"/>
  <c r="G36"/>
  <c r="G35"/>
  <c r="J34"/>
  <c r="J150" s="1"/>
  <c r="J148" s="1"/>
  <c r="J146" s="1"/>
  <c r="H34"/>
  <c r="G33"/>
  <c r="G32"/>
  <c r="G29"/>
  <c r="I28"/>
  <c r="H28"/>
  <c r="I26"/>
  <c r="G26" s="1"/>
  <c r="K24"/>
  <c r="J24"/>
  <c r="I24"/>
  <c r="G24" s="1"/>
  <c r="H24"/>
  <c r="K21"/>
  <c r="J21"/>
  <c r="I21"/>
  <c r="H21"/>
  <c r="G21" s="1"/>
  <c r="J19"/>
  <c r="K17"/>
  <c r="J17"/>
  <c r="J15" s="1"/>
  <c r="I17"/>
  <c r="G17" s="1"/>
  <c r="H17"/>
  <c r="G16"/>
  <c r="K15"/>
  <c r="I15"/>
  <c r="D9"/>
  <c r="H104" l="1"/>
  <c r="G106"/>
  <c r="G76"/>
  <c r="K90"/>
  <c r="K150"/>
  <c r="K148" s="1"/>
  <c r="K146" s="1"/>
  <c r="K128"/>
  <c r="K126" s="1"/>
  <c r="K124" s="1"/>
  <c r="I90"/>
  <c r="G90" s="1"/>
  <c r="G87"/>
  <c r="I63"/>
  <c r="I81"/>
  <c r="G19"/>
  <c r="J56"/>
  <c r="G137"/>
  <c r="I40"/>
  <c r="I51"/>
  <c r="G51" s="1"/>
  <c r="H15"/>
  <c r="G15" l="1"/>
  <c r="H52"/>
  <c r="I79"/>
  <c r="G81"/>
  <c r="J54"/>
  <c r="G56"/>
  <c r="G63"/>
  <c r="I54"/>
  <c r="G40"/>
  <c r="I34"/>
  <c r="H103"/>
  <c r="G103" s="1"/>
  <c r="G104"/>
  <c r="G79" l="1"/>
  <c r="I73"/>
  <c r="G73" s="1"/>
  <c r="G54"/>
  <c r="I128"/>
  <c r="I150"/>
  <c r="I52"/>
  <c r="G34"/>
  <c r="I45"/>
  <c r="J30"/>
  <c r="G30" l="1"/>
  <c r="J69"/>
  <c r="J28"/>
  <c r="J45"/>
  <c r="J84" s="1"/>
  <c r="I84"/>
  <c r="G45"/>
  <c r="G150"/>
  <c r="I148"/>
  <c r="I126"/>
  <c r="G128"/>
  <c r="J52" l="1"/>
  <c r="K31"/>
  <c r="G84"/>
  <c r="I91"/>
  <c r="G148"/>
  <c r="I146"/>
  <c r="G146" s="1"/>
  <c r="I124"/>
  <c r="G124" s="1"/>
  <c r="G126"/>
  <c r="J67"/>
  <c r="G69"/>
  <c r="J91" l="1"/>
  <c r="K70"/>
  <c r="G31"/>
  <c r="K28"/>
  <c r="K52" l="1"/>
  <c r="G52" s="1"/>
  <c r="G28"/>
  <c r="K67"/>
  <c r="G70"/>
  <c r="K91" l="1"/>
  <c r="G91" s="1"/>
  <c r="G67"/>
  <c r="F155" i="9" l="1"/>
  <c r="I152"/>
  <c r="F152"/>
  <c r="I149"/>
  <c r="G149"/>
  <c r="H148"/>
  <c r="G147"/>
  <c r="H146"/>
  <c r="G145"/>
  <c r="G144"/>
  <c r="G143"/>
  <c r="K142"/>
  <c r="J142"/>
  <c r="I142"/>
  <c r="H142"/>
  <c r="G142" s="1"/>
  <c r="G141"/>
  <c r="G140"/>
  <c r="K139"/>
  <c r="J139"/>
  <c r="I139"/>
  <c r="H139"/>
  <c r="G139" s="1"/>
  <c r="G138"/>
  <c r="K137"/>
  <c r="K136" s="1"/>
  <c r="J137"/>
  <c r="J136" s="1"/>
  <c r="I137"/>
  <c r="I136" s="1"/>
  <c r="H137"/>
  <c r="G137" s="1"/>
  <c r="H136"/>
  <c r="G136" s="1"/>
  <c r="G135"/>
  <c r="G134"/>
  <c r="G133"/>
  <c r="K132"/>
  <c r="J132"/>
  <c r="I132"/>
  <c r="G132" s="1"/>
  <c r="H132"/>
  <c r="G131"/>
  <c r="K130"/>
  <c r="J130"/>
  <c r="I130"/>
  <c r="G130" s="1"/>
  <c r="H130"/>
  <c r="G127"/>
  <c r="H126"/>
  <c r="G125"/>
  <c r="H124"/>
  <c r="G123"/>
  <c r="G122"/>
  <c r="G121"/>
  <c r="K120"/>
  <c r="J120"/>
  <c r="I120"/>
  <c r="G120" s="1"/>
  <c r="H120"/>
  <c r="G119"/>
  <c r="G118"/>
  <c r="G117"/>
  <c r="G116"/>
  <c r="G115"/>
  <c r="G114"/>
  <c r="K113"/>
  <c r="J113"/>
  <c r="I113"/>
  <c r="I106" s="1"/>
  <c r="I104" s="1"/>
  <c r="I103" s="1"/>
  <c r="H113"/>
  <c r="G113" s="1"/>
  <c r="G112"/>
  <c r="G111"/>
  <c r="K110"/>
  <c r="J110"/>
  <c r="I110"/>
  <c r="G110" s="1"/>
  <c r="H110"/>
  <c r="G109"/>
  <c r="G108"/>
  <c r="K107"/>
  <c r="K106" s="1"/>
  <c r="K104" s="1"/>
  <c r="K103" s="1"/>
  <c r="J107"/>
  <c r="G107" s="1"/>
  <c r="I107"/>
  <c r="H107"/>
  <c r="H106" s="1"/>
  <c r="J106"/>
  <c r="G105"/>
  <c r="J104"/>
  <c r="J103" s="1"/>
  <c r="G102"/>
  <c r="G101"/>
  <c r="G100"/>
  <c r="K99"/>
  <c r="J99"/>
  <c r="G99" s="1"/>
  <c r="I99"/>
  <c r="H99"/>
  <c r="G98"/>
  <c r="K97"/>
  <c r="J97"/>
  <c r="G97" s="1"/>
  <c r="I97"/>
  <c r="H97"/>
  <c r="G95"/>
  <c r="G94"/>
  <c r="G93"/>
  <c r="H91"/>
  <c r="H90"/>
  <c r="K89"/>
  <c r="J89"/>
  <c r="G89" s="1"/>
  <c r="I89"/>
  <c r="G88"/>
  <c r="K87"/>
  <c r="K90" s="1"/>
  <c r="J87"/>
  <c r="J90" s="1"/>
  <c r="I87"/>
  <c r="G87" s="1"/>
  <c r="G86"/>
  <c r="G85"/>
  <c r="G83"/>
  <c r="I81"/>
  <c r="G81"/>
  <c r="K79"/>
  <c r="J79"/>
  <c r="J73" s="1"/>
  <c r="I79"/>
  <c r="I73" s="1"/>
  <c r="H79"/>
  <c r="G78"/>
  <c r="G77"/>
  <c r="K76"/>
  <c r="K73" s="1"/>
  <c r="J76"/>
  <c r="G76" s="1"/>
  <c r="I76"/>
  <c r="G75"/>
  <c r="G74"/>
  <c r="H73"/>
  <c r="G72"/>
  <c r="G71"/>
  <c r="G68"/>
  <c r="I67"/>
  <c r="H67"/>
  <c r="I65"/>
  <c r="I63" s="1"/>
  <c r="G65"/>
  <c r="K63"/>
  <c r="J63"/>
  <c r="H63"/>
  <c r="K60"/>
  <c r="K54" s="1"/>
  <c r="J60"/>
  <c r="G60" s="1"/>
  <c r="I60"/>
  <c r="H60"/>
  <c r="J58"/>
  <c r="J56" s="1"/>
  <c r="G58"/>
  <c r="K56"/>
  <c r="I56"/>
  <c r="H56"/>
  <c r="G55"/>
  <c r="H54"/>
  <c r="K51"/>
  <c r="J51"/>
  <c r="I51"/>
  <c r="G51" s="1"/>
  <c r="H51"/>
  <c r="G50"/>
  <c r="G49"/>
  <c r="G48"/>
  <c r="G47"/>
  <c r="G46"/>
  <c r="G44"/>
  <c r="G42"/>
  <c r="K40"/>
  <c r="J40"/>
  <c r="I40"/>
  <c r="I34" s="1"/>
  <c r="H40"/>
  <c r="H34" s="1"/>
  <c r="G34" s="1"/>
  <c r="G40"/>
  <c r="G39"/>
  <c r="G38"/>
  <c r="G37"/>
  <c r="G36"/>
  <c r="G35"/>
  <c r="K34"/>
  <c r="K150" s="1"/>
  <c r="K148" s="1"/>
  <c r="K146" s="1"/>
  <c r="J34"/>
  <c r="J128" s="1"/>
  <c r="J126" s="1"/>
  <c r="J124" s="1"/>
  <c r="G33"/>
  <c r="G32"/>
  <c r="G29"/>
  <c r="I28"/>
  <c r="H28"/>
  <c r="G26"/>
  <c r="K24"/>
  <c r="J24"/>
  <c r="G24" s="1"/>
  <c r="I24"/>
  <c r="H24"/>
  <c r="H15" s="1"/>
  <c r="K21"/>
  <c r="J21"/>
  <c r="I21"/>
  <c r="G21" s="1"/>
  <c r="H21"/>
  <c r="G19"/>
  <c r="K17"/>
  <c r="K15" s="1"/>
  <c r="J17"/>
  <c r="J15" s="1"/>
  <c r="I17"/>
  <c r="G17" s="1"/>
  <c r="H17"/>
  <c r="G16"/>
  <c r="I15"/>
  <c r="I45" s="1"/>
  <c r="D9"/>
  <c r="H52" l="1"/>
  <c r="G15"/>
  <c r="G63"/>
  <c r="I54"/>
  <c r="I84"/>
  <c r="I128"/>
  <c r="I150"/>
  <c r="G150" s="1"/>
  <c r="H104"/>
  <c r="G106"/>
  <c r="G56"/>
  <c r="J54"/>
  <c r="G73"/>
  <c r="K128"/>
  <c r="K126" s="1"/>
  <c r="K124" s="1"/>
  <c r="J30"/>
  <c r="G79"/>
  <c r="I90"/>
  <c r="G90" s="1"/>
  <c r="I52"/>
  <c r="J150"/>
  <c r="J148" s="1"/>
  <c r="J146" s="1"/>
  <c r="I126" l="1"/>
  <c r="G128"/>
  <c r="J28"/>
  <c r="J69"/>
  <c r="J45"/>
  <c r="G30"/>
  <c r="H103"/>
  <c r="G103" s="1"/>
  <c r="G104"/>
  <c r="G54"/>
  <c r="I91"/>
  <c r="I148"/>
  <c r="I124" l="1"/>
  <c r="G124" s="1"/>
  <c r="G126"/>
  <c r="G148"/>
  <c r="I146"/>
  <c r="G146" s="1"/>
  <c r="J84"/>
  <c r="G84" s="1"/>
  <c r="G45"/>
  <c r="J67"/>
  <c r="G69"/>
  <c r="J52"/>
  <c r="K31"/>
  <c r="J91" l="1"/>
  <c r="K28"/>
  <c r="K70"/>
  <c r="G31"/>
  <c r="K67" l="1"/>
  <c r="G70"/>
  <c r="K52"/>
  <c r="G52" s="1"/>
  <c r="G28"/>
  <c r="K91" l="1"/>
  <c r="G91" s="1"/>
  <c r="G67"/>
  <c r="F155" i="8" l="1"/>
  <c r="I152"/>
  <c r="F152"/>
  <c r="K150"/>
  <c r="I149"/>
  <c r="G149" s="1"/>
  <c r="K148"/>
  <c r="H148"/>
  <c r="G147"/>
  <c r="K146"/>
  <c r="H146"/>
  <c r="G145"/>
  <c r="G144"/>
  <c r="G143"/>
  <c r="K142"/>
  <c r="J142"/>
  <c r="I142"/>
  <c r="G142" s="1"/>
  <c r="H142"/>
  <c r="G141"/>
  <c r="G140"/>
  <c r="K139"/>
  <c r="J139"/>
  <c r="I139"/>
  <c r="H139"/>
  <c r="G139" s="1"/>
  <c r="G138"/>
  <c r="K137"/>
  <c r="K136" s="1"/>
  <c r="J137"/>
  <c r="J136" s="1"/>
  <c r="I137"/>
  <c r="H137"/>
  <c r="H136" s="1"/>
  <c r="I136"/>
  <c r="G135"/>
  <c r="G134"/>
  <c r="G133"/>
  <c r="K132"/>
  <c r="J132"/>
  <c r="I132"/>
  <c r="H132"/>
  <c r="G132" s="1"/>
  <c r="G131"/>
  <c r="K130"/>
  <c r="J130"/>
  <c r="I130"/>
  <c r="H130"/>
  <c r="G130" s="1"/>
  <c r="G127"/>
  <c r="H126"/>
  <c r="G125"/>
  <c r="H124"/>
  <c r="G123"/>
  <c r="G122"/>
  <c r="G121"/>
  <c r="K120"/>
  <c r="J120"/>
  <c r="I120"/>
  <c r="H120"/>
  <c r="G120" s="1"/>
  <c r="G119"/>
  <c r="G118"/>
  <c r="G117"/>
  <c r="G116"/>
  <c r="G115"/>
  <c r="G114"/>
  <c r="K113"/>
  <c r="J113"/>
  <c r="I113"/>
  <c r="H113"/>
  <c r="G113" s="1"/>
  <c r="G112"/>
  <c r="G111"/>
  <c r="K110"/>
  <c r="J110"/>
  <c r="I110"/>
  <c r="G110" s="1"/>
  <c r="H110"/>
  <c r="G109"/>
  <c r="G108"/>
  <c r="K107"/>
  <c r="J107"/>
  <c r="J106" s="1"/>
  <c r="J104" s="1"/>
  <c r="J103" s="1"/>
  <c r="I107"/>
  <c r="H107"/>
  <c r="H106" s="1"/>
  <c r="K106"/>
  <c r="K104" s="1"/>
  <c r="K103" s="1"/>
  <c r="I106"/>
  <c r="G105"/>
  <c r="I104"/>
  <c r="I103" s="1"/>
  <c r="G102"/>
  <c r="G101"/>
  <c r="G100"/>
  <c r="K99"/>
  <c r="J99"/>
  <c r="G99" s="1"/>
  <c r="I99"/>
  <c r="H99"/>
  <c r="G98"/>
  <c r="K97"/>
  <c r="J97"/>
  <c r="G97" s="1"/>
  <c r="I97"/>
  <c r="H97"/>
  <c r="G95"/>
  <c r="G94"/>
  <c r="G93"/>
  <c r="H91"/>
  <c r="K90"/>
  <c r="H90"/>
  <c r="K89"/>
  <c r="J89"/>
  <c r="I89"/>
  <c r="G89" s="1"/>
  <c r="G88"/>
  <c r="K87"/>
  <c r="J87"/>
  <c r="J90" s="1"/>
  <c r="I87"/>
  <c r="G87" s="1"/>
  <c r="G86"/>
  <c r="G85"/>
  <c r="G83"/>
  <c r="I81"/>
  <c r="G81"/>
  <c r="K79"/>
  <c r="K73" s="1"/>
  <c r="J79"/>
  <c r="I79"/>
  <c r="I73" s="1"/>
  <c r="H79"/>
  <c r="G79" s="1"/>
  <c r="G78"/>
  <c r="G77"/>
  <c r="K76"/>
  <c r="J76"/>
  <c r="I76"/>
  <c r="G76" s="1"/>
  <c r="G75"/>
  <c r="G74"/>
  <c r="J73"/>
  <c r="H73"/>
  <c r="G72"/>
  <c r="G71"/>
  <c r="G68"/>
  <c r="I67"/>
  <c r="H67"/>
  <c r="I65"/>
  <c r="G65" s="1"/>
  <c r="K63"/>
  <c r="J63"/>
  <c r="H63"/>
  <c r="K60"/>
  <c r="J60"/>
  <c r="G60" s="1"/>
  <c r="I60"/>
  <c r="H60"/>
  <c r="J58"/>
  <c r="G58" s="1"/>
  <c r="K56"/>
  <c r="I56"/>
  <c r="H56"/>
  <c r="G55"/>
  <c r="K54"/>
  <c r="H54"/>
  <c r="K51"/>
  <c r="J51"/>
  <c r="I51"/>
  <c r="G51" s="1"/>
  <c r="H51"/>
  <c r="G50"/>
  <c r="G49"/>
  <c r="G48"/>
  <c r="G47"/>
  <c r="G46"/>
  <c r="G44"/>
  <c r="G42"/>
  <c r="K40"/>
  <c r="J40"/>
  <c r="I40"/>
  <c r="I34" s="1"/>
  <c r="H40"/>
  <c r="G40" s="1"/>
  <c r="G39"/>
  <c r="G38"/>
  <c r="G37"/>
  <c r="G36"/>
  <c r="G35"/>
  <c r="K34"/>
  <c r="K128" s="1"/>
  <c r="K126" s="1"/>
  <c r="K124" s="1"/>
  <c r="J34"/>
  <c r="J150" s="1"/>
  <c r="J148" s="1"/>
  <c r="J146" s="1"/>
  <c r="G33"/>
  <c r="G32"/>
  <c r="G29"/>
  <c r="I28"/>
  <c r="H28"/>
  <c r="G26"/>
  <c r="K24"/>
  <c r="J24"/>
  <c r="J15" s="1"/>
  <c r="I24"/>
  <c r="H24"/>
  <c r="K21"/>
  <c r="J21"/>
  <c r="I21"/>
  <c r="G21" s="1"/>
  <c r="H21"/>
  <c r="G19"/>
  <c r="K17"/>
  <c r="J17"/>
  <c r="I17"/>
  <c r="G17" s="1"/>
  <c r="H17"/>
  <c r="G16"/>
  <c r="K15"/>
  <c r="I15"/>
  <c r="H15"/>
  <c r="D9"/>
  <c r="H52" l="1"/>
  <c r="I52"/>
  <c r="G136"/>
  <c r="H104"/>
  <c r="G106"/>
  <c r="I128"/>
  <c r="I150"/>
  <c r="G150" s="1"/>
  <c r="G73"/>
  <c r="J128"/>
  <c r="J126" s="1"/>
  <c r="J124" s="1"/>
  <c r="G15"/>
  <c r="J30"/>
  <c r="H34"/>
  <c r="G34" s="1"/>
  <c r="I63"/>
  <c r="I90"/>
  <c r="G90" s="1"/>
  <c r="I148"/>
  <c r="G24"/>
  <c r="I45"/>
  <c r="G107"/>
  <c r="J56"/>
  <c r="G137"/>
  <c r="I146" l="1"/>
  <c r="G146" s="1"/>
  <c r="G148"/>
  <c r="I126"/>
  <c r="G128"/>
  <c r="G56"/>
  <c r="J54"/>
  <c r="I54"/>
  <c r="G63"/>
  <c r="H103"/>
  <c r="G103" s="1"/>
  <c r="G104"/>
  <c r="I84"/>
  <c r="G84" s="1"/>
  <c r="G45"/>
  <c r="J28"/>
  <c r="G30"/>
  <c r="J69"/>
  <c r="J45"/>
  <c r="J84" s="1"/>
  <c r="J52" l="1"/>
  <c r="K31"/>
  <c r="I91"/>
  <c r="G54"/>
  <c r="J67"/>
  <c r="G69"/>
  <c r="G126"/>
  <c r="I124"/>
  <c r="G124" s="1"/>
  <c r="K28" l="1"/>
  <c r="K70"/>
  <c r="G31"/>
  <c r="J91"/>
  <c r="K67" l="1"/>
  <c r="G70"/>
  <c r="K52"/>
  <c r="G52" s="1"/>
  <c r="G28"/>
  <c r="K91" l="1"/>
  <c r="G91" s="1"/>
  <c r="G67"/>
  <c r="F155" i="7" l="1"/>
  <c r="I152"/>
  <c r="F152"/>
  <c r="I149"/>
  <c r="G149" s="1"/>
  <c r="H148"/>
  <c r="G147"/>
  <c r="H146"/>
  <c r="G145"/>
  <c r="G144"/>
  <c r="G143"/>
  <c r="K142"/>
  <c r="J142"/>
  <c r="I142"/>
  <c r="G142" s="1"/>
  <c r="H142"/>
  <c r="G141"/>
  <c r="G140"/>
  <c r="K139"/>
  <c r="J139"/>
  <c r="I139"/>
  <c r="H139"/>
  <c r="G139" s="1"/>
  <c r="G138"/>
  <c r="K137"/>
  <c r="K136" s="1"/>
  <c r="J137"/>
  <c r="J136" s="1"/>
  <c r="I137"/>
  <c r="H137"/>
  <c r="H136" s="1"/>
  <c r="I136"/>
  <c r="G135"/>
  <c r="G134"/>
  <c r="G133"/>
  <c r="K132"/>
  <c r="G132" s="1"/>
  <c r="J132"/>
  <c r="I132"/>
  <c r="H132"/>
  <c r="G131"/>
  <c r="K130"/>
  <c r="G130" s="1"/>
  <c r="J130"/>
  <c r="I130"/>
  <c r="H130"/>
  <c r="G127"/>
  <c r="H126"/>
  <c r="G125"/>
  <c r="H124"/>
  <c r="G123"/>
  <c r="G122"/>
  <c r="G121"/>
  <c r="K120"/>
  <c r="G120" s="1"/>
  <c r="J120"/>
  <c r="I120"/>
  <c r="H120"/>
  <c r="G119"/>
  <c r="G118"/>
  <c r="G117"/>
  <c r="G116"/>
  <c r="G115"/>
  <c r="G114"/>
  <c r="K113"/>
  <c r="J113"/>
  <c r="I113"/>
  <c r="H113"/>
  <c r="G113" s="1"/>
  <c r="G112"/>
  <c r="G111"/>
  <c r="K110"/>
  <c r="G110" s="1"/>
  <c r="J110"/>
  <c r="I110"/>
  <c r="H110"/>
  <c r="G109"/>
  <c r="G108"/>
  <c r="K107"/>
  <c r="J107"/>
  <c r="J106" s="1"/>
  <c r="J104" s="1"/>
  <c r="J103" s="1"/>
  <c r="I107"/>
  <c r="H107"/>
  <c r="H106" s="1"/>
  <c r="G107"/>
  <c r="K106"/>
  <c r="I106"/>
  <c r="G105"/>
  <c r="K104"/>
  <c r="K103" s="1"/>
  <c r="I104"/>
  <c r="I103" s="1"/>
  <c r="G102"/>
  <c r="G101"/>
  <c r="G100"/>
  <c r="K99"/>
  <c r="J99"/>
  <c r="I99"/>
  <c r="H99"/>
  <c r="G99"/>
  <c r="G98"/>
  <c r="K97"/>
  <c r="J97"/>
  <c r="I97"/>
  <c r="H97"/>
  <c r="G97"/>
  <c r="G95"/>
  <c r="G94"/>
  <c r="G93"/>
  <c r="I90"/>
  <c r="H90"/>
  <c r="K89"/>
  <c r="J89"/>
  <c r="I89"/>
  <c r="G89"/>
  <c r="G88"/>
  <c r="K87"/>
  <c r="K90" s="1"/>
  <c r="J87"/>
  <c r="J90" s="1"/>
  <c r="G90" s="1"/>
  <c r="I87"/>
  <c r="G87" s="1"/>
  <c r="G86"/>
  <c r="G85"/>
  <c r="K84"/>
  <c r="G83"/>
  <c r="K81"/>
  <c r="K79" s="1"/>
  <c r="K73" s="1"/>
  <c r="J81"/>
  <c r="G81" s="1"/>
  <c r="I81"/>
  <c r="I79"/>
  <c r="I73" s="1"/>
  <c r="H79"/>
  <c r="G78"/>
  <c r="J77"/>
  <c r="I77"/>
  <c r="G77"/>
  <c r="K76"/>
  <c r="J76"/>
  <c r="I76"/>
  <c r="G76" s="1"/>
  <c r="G75"/>
  <c r="G74"/>
  <c r="G72"/>
  <c r="G71"/>
  <c r="K69"/>
  <c r="G68"/>
  <c r="I67"/>
  <c r="H67"/>
  <c r="K65"/>
  <c r="K63" s="1"/>
  <c r="J65"/>
  <c r="I65"/>
  <c r="G65" s="1"/>
  <c r="J63"/>
  <c r="I63"/>
  <c r="H63"/>
  <c r="K60"/>
  <c r="J60"/>
  <c r="J54" s="1"/>
  <c r="I60"/>
  <c r="H60"/>
  <c r="G60" s="1"/>
  <c r="K58"/>
  <c r="J58"/>
  <c r="I58"/>
  <c r="I56" s="1"/>
  <c r="G58"/>
  <c r="K56"/>
  <c r="J56"/>
  <c r="H56"/>
  <c r="G55"/>
  <c r="K51"/>
  <c r="J51"/>
  <c r="I51"/>
  <c r="G51" s="1"/>
  <c r="H51"/>
  <c r="G50"/>
  <c r="G49"/>
  <c r="G48"/>
  <c r="G47"/>
  <c r="G46"/>
  <c r="G44"/>
  <c r="G42"/>
  <c r="K40"/>
  <c r="J40"/>
  <c r="I40"/>
  <c r="H40"/>
  <c r="H34" s="1"/>
  <c r="G34" s="1"/>
  <c r="G40"/>
  <c r="G39"/>
  <c r="G38"/>
  <c r="G37"/>
  <c r="G36"/>
  <c r="G35"/>
  <c r="K34"/>
  <c r="K128" s="1"/>
  <c r="J34"/>
  <c r="J128" s="1"/>
  <c r="I34"/>
  <c r="I128" s="1"/>
  <c r="G33"/>
  <c r="G32"/>
  <c r="G29"/>
  <c r="I28"/>
  <c r="H28"/>
  <c r="G26"/>
  <c r="K24"/>
  <c r="K15" s="1"/>
  <c r="J24"/>
  <c r="J15" s="1"/>
  <c r="I24"/>
  <c r="H24"/>
  <c r="H15" s="1"/>
  <c r="K21"/>
  <c r="J21"/>
  <c r="I21"/>
  <c r="G21" s="1"/>
  <c r="H21"/>
  <c r="G19"/>
  <c r="K17"/>
  <c r="J17"/>
  <c r="I17"/>
  <c r="G17" s="1"/>
  <c r="H17"/>
  <c r="G16"/>
  <c r="I15"/>
  <c r="D9"/>
  <c r="I54" l="1"/>
  <c r="G56"/>
  <c r="I126"/>
  <c r="G128"/>
  <c r="I150"/>
  <c r="J150"/>
  <c r="J148" s="1"/>
  <c r="J146" s="1"/>
  <c r="J126"/>
  <c r="J124" s="1"/>
  <c r="G63"/>
  <c r="G136"/>
  <c r="H52"/>
  <c r="G15"/>
  <c r="K150"/>
  <c r="K148" s="1"/>
  <c r="K146" s="1"/>
  <c r="K126"/>
  <c r="K124" s="1"/>
  <c r="K54"/>
  <c r="H104"/>
  <c r="G106"/>
  <c r="I148"/>
  <c r="G24"/>
  <c r="I45"/>
  <c r="H54"/>
  <c r="H73"/>
  <c r="G137"/>
  <c r="J79"/>
  <c r="J73" s="1"/>
  <c r="J30"/>
  <c r="G148" l="1"/>
  <c r="I146"/>
  <c r="G146" s="1"/>
  <c r="H103"/>
  <c r="G103" s="1"/>
  <c r="G104"/>
  <c r="G79"/>
  <c r="G73"/>
  <c r="H91"/>
  <c r="G54"/>
  <c r="G150"/>
  <c r="I84"/>
  <c r="G84" s="1"/>
  <c r="J45"/>
  <c r="J84" s="1"/>
  <c r="J69"/>
  <c r="G30"/>
  <c r="J28"/>
  <c r="I52"/>
  <c r="I124"/>
  <c r="G124" s="1"/>
  <c r="G126"/>
  <c r="J52" l="1"/>
  <c r="K31"/>
  <c r="J67"/>
  <c r="G69"/>
  <c r="I91"/>
  <c r="G45"/>
  <c r="J91" l="1"/>
  <c r="K70"/>
  <c r="G31"/>
  <c r="K28"/>
  <c r="K52" l="1"/>
  <c r="G52" s="1"/>
  <c r="G28"/>
  <c r="K67"/>
  <c r="G70"/>
  <c r="K91" l="1"/>
  <c r="G91" s="1"/>
  <c r="G67"/>
  <c r="F155" i="6" l="1"/>
  <c r="I152"/>
  <c r="F152"/>
  <c r="I149"/>
  <c r="G149" s="1"/>
  <c r="H148"/>
  <c r="G147"/>
  <c r="H146"/>
  <c r="G145"/>
  <c r="G144"/>
  <c r="G143"/>
  <c r="K142"/>
  <c r="J142"/>
  <c r="I142"/>
  <c r="H142"/>
  <c r="G142"/>
  <c r="G141"/>
  <c r="G140"/>
  <c r="K139"/>
  <c r="J139"/>
  <c r="I139"/>
  <c r="H139"/>
  <c r="G139" s="1"/>
  <c r="G138"/>
  <c r="K137"/>
  <c r="J137"/>
  <c r="J136" s="1"/>
  <c r="I137"/>
  <c r="H137"/>
  <c r="H136" s="1"/>
  <c r="K136"/>
  <c r="I136"/>
  <c r="G135"/>
  <c r="G134"/>
  <c r="G133"/>
  <c r="K132"/>
  <c r="J132"/>
  <c r="I132"/>
  <c r="G132" s="1"/>
  <c r="H132"/>
  <c r="G131"/>
  <c r="K130"/>
  <c r="J130"/>
  <c r="I130"/>
  <c r="G130" s="1"/>
  <c r="H130"/>
  <c r="G127"/>
  <c r="H126"/>
  <c r="G125"/>
  <c r="H124"/>
  <c r="G123"/>
  <c r="G122"/>
  <c r="G121"/>
  <c r="K120"/>
  <c r="J120"/>
  <c r="I120"/>
  <c r="G120" s="1"/>
  <c r="H120"/>
  <c r="G119"/>
  <c r="G118"/>
  <c r="G117"/>
  <c r="G116"/>
  <c r="G115"/>
  <c r="G114"/>
  <c r="K113"/>
  <c r="J113"/>
  <c r="I113"/>
  <c r="H113"/>
  <c r="G113" s="1"/>
  <c r="G112"/>
  <c r="G111"/>
  <c r="K110"/>
  <c r="J110"/>
  <c r="I110"/>
  <c r="G110" s="1"/>
  <c r="H110"/>
  <c r="G109"/>
  <c r="G108"/>
  <c r="K107"/>
  <c r="J107"/>
  <c r="J106" s="1"/>
  <c r="J104" s="1"/>
  <c r="J103" s="1"/>
  <c r="I107"/>
  <c r="H107"/>
  <c r="G107" s="1"/>
  <c r="K106"/>
  <c r="I106"/>
  <c r="G105"/>
  <c r="K104"/>
  <c r="K103" s="1"/>
  <c r="I104"/>
  <c r="I103" s="1"/>
  <c r="G102"/>
  <c r="G101"/>
  <c r="G100"/>
  <c r="K99"/>
  <c r="J99"/>
  <c r="I99"/>
  <c r="H99"/>
  <c r="G99" s="1"/>
  <c r="G98"/>
  <c r="K97"/>
  <c r="J97"/>
  <c r="I97"/>
  <c r="H97"/>
  <c r="G97" s="1"/>
  <c r="G95"/>
  <c r="G94"/>
  <c r="G93"/>
  <c r="K90"/>
  <c r="H90"/>
  <c r="K89"/>
  <c r="J89"/>
  <c r="G89" s="1"/>
  <c r="I89"/>
  <c r="G88"/>
  <c r="K87"/>
  <c r="J87"/>
  <c r="J90" s="1"/>
  <c r="I87"/>
  <c r="G87" s="1"/>
  <c r="G86"/>
  <c r="G85"/>
  <c r="K84"/>
  <c r="G83"/>
  <c r="K81"/>
  <c r="J81"/>
  <c r="J79" s="1"/>
  <c r="J73" s="1"/>
  <c r="I81"/>
  <c r="I79" s="1"/>
  <c r="I73" s="1"/>
  <c r="G81"/>
  <c r="K79"/>
  <c r="H79"/>
  <c r="G78"/>
  <c r="G77"/>
  <c r="K76"/>
  <c r="J76"/>
  <c r="I76"/>
  <c r="G76" s="1"/>
  <c r="G75"/>
  <c r="G74"/>
  <c r="K73"/>
  <c r="G72"/>
  <c r="G71"/>
  <c r="K69"/>
  <c r="G68"/>
  <c r="I67"/>
  <c r="H67"/>
  <c r="K65"/>
  <c r="J65"/>
  <c r="J63" s="1"/>
  <c r="I65"/>
  <c r="G65" s="1"/>
  <c r="K63"/>
  <c r="H63"/>
  <c r="K60"/>
  <c r="J60"/>
  <c r="I60"/>
  <c r="H60"/>
  <c r="G60" s="1"/>
  <c r="K58"/>
  <c r="K56" s="1"/>
  <c r="K54" s="1"/>
  <c r="J58"/>
  <c r="J56" s="1"/>
  <c r="J54" s="1"/>
  <c r="I58"/>
  <c r="I56" s="1"/>
  <c r="H56"/>
  <c r="G55"/>
  <c r="K51"/>
  <c r="G51" s="1"/>
  <c r="J51"/>
  <c r="I51"/>
  <c r="H51"/>
  <c r="G50"/>
  <c r="G49"/>
  <c r="G48"/>
  <c r="G47"/>
  <c r="G46"/>
  <c r="G44"/>
  <c r="G42"/>
  <c r="K40"/>
  <c r="J40"/>
  <c r="J34" s="1"/>
  <c r="J128" s="1"/>
  <c r="I40"/>
  <c r="H40"/>
  <c r="H34" s="1"/>
  <c r="G34" s="1"/>
  <c r="G39"/>
  <c r="G38"/>
  <c r="G37"/>
  <c r="G36"/>
  <c r="G35"/>
  <c r="K34"/>
  <c r="K128" s="1"/>
  <c r="I34"/>
  <c r="I128" s="1"/>
  <c r="G33"/>
  <c r="G32"/>
  <c r="J30"/>
  <c r="J45" s="1"/>
  <c r="J84" s="1"/>
  <c r="G29"/>
  <c r="I28"/>
  <c r="H28"/>
  <c r="G26"/>
  <c r="K24"/>
  <c r="J24"/>
  <c r="J15" s="1"/>
  <c r="I24"/>
  <c r="H24"/>
  <c r="H15" s="1"/>
  <c r="K21"/>
  <c r="G21" s="1"/>
  <c r="J21"/>
  <c r="I21"/>
  <c r="H21"/>
  <c r="G19"/>
  <c r="K17"/>
  <c r="G17" s="1"/>
  <c r="J17"/>
  <c r="I17"/>
  <c r="H17"/>
  <c r="G16"/>
  <c r="I15"/>
  <c r="D9"/>
  <c r="I54" l="1"/>
  <c r="G56"/>
  <c r="K150"/>
  <c r="K148" s="1"/>
  <c r="K146" s="1"/>
  <c r="K126"/>
  <c r="K124" s="1"/>
  <c r="G79"/>
  <c r="J52"/>
  <c r="J126"/>
  <c r="J124" s="1"/>
  <c r="J150"/>
  <c r="J148" s="1"/>
  <c r="J146" s="1"/>
  <c r="I126"/>
  <c r="G128"/>
  <c r="I150"/>
  <c r="H52"/>
  <c r="G136"/>
  <c r="K15"/>
  <c r="J28"/>
  <c r="K31" s="1"/>
  <c r="I63"/>
  <c r="G63" s="1"/>
  <c r="I90"/>
  <c r="G90" s="1"/>
  <c r="I148"/>
  <c r="G40"/>
  <c r="G58"/>
  <c r="H106"/>
  <c r="G137"/>
  <c r="J69"/>
  <c r="G24"/>
  <c r="G30"/>
  <c r="I45"/>
  <c r="H54"/>
  <c r="H73"/>
  <c r="G73" s="1"/>
  <c r="K70" l="1"/>
  <c r="G31"/>
  <c r="K28"/>
  <c r="G28" s="1"/>
  <c r="K52"/>
  <c r="G52" s="1"/>
  <c r="I124"/>
  <c r="G124" s="1"/>
  <c r="G126"/>
  <c r="G148"/>
  <c r="I146"/>
  <c r="G146" s="1"/>
  <c r="J67"/>
  <c r="G69"/>
  <c r="I84"/>
  <c r="G84" s="1"/>
  <c r="G45"/>
  <c r="I52"/>
  <c r="G15"/>
  <c r="H91"/>
  <c r="G54"/>
  <c r="H104"/>
  <c r="G106"/>
  <c r="G150"/>
  <c r="J91" l="1"/>
  <c r="H103"/>
  <c r="G103" s="1"/>
  <c r="G104"/>
  <c r="I91"/>
  <c r="G91" s="1"/>
  <c r="G70"/>
  <c r="K67"/>
  <c r="K91" s="1"/>
  <c r="G67" l="1"/>
  <c r="F155" i="5" l="1"/>
  <c r="I152"/>
  <c r="F152"/>
  <c r="I150"/>
  <c r="G150" s="1"/>
  <c r="I149"/>
  <c r="G149"/>
  <c r="K148"/>
  <c r="J148"/>
  <c r="I148"/>
  <c r="G148" s="1"/>
  <c r="H148"/>
  <c r="G147"/>
  <c r="K146"/>
  <c r="J146"/>
  <c r="I146"/>
  <c r="G146" s="1"/>
  <c r="H146"/>
  <c r="G145"/>
  <c r="G144"/>
  <c r="G143"/>
  <c r="K142"/>
  <c r="J142"/>
  <c r="I142"/>
  <c r="H142"/>
  <c r="G142"/>
  <c r="G141"/>
  <c r="G140"/>
  <c r="K139"/>
  <c r="J139"/>
  <c r="I139"/>
  <c r="H139"/>
  <c r="G139" s="1"/>
  <c r="G138"/>
  <c r="K137"/>
  <c r="J137"/>
  <c r="J136" s="1"/>
  <c r="I137"/>
  <c r="I136" s="1"/>
  <c r="H137"/>
  <c r="H136" s="1"/>
  <c r="K136"/>
  <c r="G135"/>
  <c r="G134"/>
  <c r="G133"/>
  <c r="K132"/>
  <c r="J132"/>
  <c r="I132"/>
  <c r="G132" s="1"/>
  <c r="H132"/>
  <c r="G131"/>
  <c r="K130"/>
  <c r="J130"/>
  <c r="I130"/>
  <c r="G130" s="1"/>
  <c r="H130"/>
  <c r="G127"/>
  <c r="H126"/>
  <c r="G125"/>
  <c r="H124"/>
  <c r="G123"/>
  <c r="G122"/>
  <c r="G121"/>
  <c r="K120"/>
  <c r="J120"/>
  <c r="I120"/>
  <c r="G120" s="1"/>
  <c r="H120"/>
  <c r="G119"/>
  <c r="G118"/>
  <c r="G117"/>
  <c r="G116"/>
  <c r="G115"/>
  <c r="G114"/>
  <c r="K113"/>
  <c r="J113"/>
  <c r="I113"/>
  <c r="H113"/>
  <c r="G113" s="1"/>
  <c r="G112"/>
  <c r="G111"/>
  <c r="K110"/>
  <c r="J110"/>
  <c r="I110"/>
  <c r="G110" s="1"/>
  <c r="H110"/>
  <c r="G109"/>
  <c r="G108"/>
  <c r="K107"/>
  <c r="K106" s="1"/>
  <c r="K104" s="1"/>
  <c r="K103" s="1"/>
  <c r="J107"/>
  <c r="J106" s="1"/>
  <c r="J104" s="1"/>
  <c r="J103" s="1"/>
  <c r="I107"/>
  <c r="H107"/>
  <c r="H106" s="1"/>
  <c r="I106"/>
  <c r="G105"/>
  <c r="I104"/>
  <c r="I103" s="1"/>
  <c r="G102"/>
  <c r="G101"/>
  <c r="G100"/>
  <c r="K99"/>
  <c r="J99"/>
  <c r="I99"/>
  <c r="H99"/>
  <c r="G99" s="1"/>
  <c r="G98"/>
  <c r="K97"/>
  <c r="J97"/>
  <c r="I97"/>
  <c r="H97"/>
  <c r="G97" s="1"/>
  <c r="G95"/>
  <c r="G94"/>
  <c r="G93"/>
  <c r="K90"/>
  <c r="H90"/>
  <c r="K89"/>
  <c r="J89"/>
  <c r="G89" s="1"/>
  <c r="I89"/>
  <c r="G88"/>
  <c r="K87"/>
  <c r="J87"/>
  <c r="J90" s="1"/>
  <c r="I87"/>
  <c r="G87" s="1"/>
  <c r="G86"/>
  <c r="G85"/>
  <c r="K84"/>
  <c r="G83"/>
  <c r="K81"/>
  <c r="J81"/>
  <c r="I81"/>
  <c r="I79" s="1"/>
  <c r="G81"/>
  <c r="K79"/>
  <c r="J79"/>
  <c r="J73" s="1"/>
  <c r="H79"/>
  <c r="G78"/>
  <c r="G77"/>
  <c r="K76"/>
  <c r="G76" s="1"/>
  <c r="J76"/>
  <c r="I76"/>
  <c r="G75"/>
  <c r="G74"/>
  <c r="K73"/>
  <c r="H73"/>
  <c r="G72"/>
  <c r="G71"/>
  <c r="K69"/>
  <c r="G68"/>
  <c r="I67"/>
  <c r="H67"/>
  <c r="K65"/>
  <c r="G65" s="1"/>
  <c r="J65"/>
  <c r="I65"/>
  <c r="K63"/>
  <c r="K54" s="1"/>
  <c r="J63"/>
  <c r="I63"/>
  <c r="G63" s="1"/>
  <c r="H63"/>
  <c r="K60"/>
  <c r="J60"/>
  <c r="I60"/>
  <c r="H60"/>
  <c r="G60" s="1"/>
  <c r="K58"/>
  <c r="J58"/>
  <c r="J56" s="1"/>
  <c r="J54" s="1"/>
  <c r="I58"/>
  <c r="G58" s="1"/>
  <c r="K56"/>
  <c r="H56"/>
  <c r="H54" s="1"/>
  <c r="G55"/>
  <c r="K51"/>
  <c r="J51"/>
  <c r="I51"/>
  <c r="G51" s="1"/>
  <c r="H51"/>
  <c r="G50"/>
  <c r="G49"/>
  <c r="G48"/>
  <c r="G47"/>
  <c r="G46"/>
  <c r="G44"/>
  <c r="G42"/>
  <c r="K40"/>
  <c r="J40"/>
  <c r="I40"/>
  <c r="I34" s="1"/>
  <c r="I128" s="1"/>
  <c r="H40"/>
  <c r="G40" s="1"/>
  <c r="G39"/>
  <c r="G38"/>
  <c r="G37"/>
  <c r="G36"/>
  <c r="G35"/>
  <c r="K34"/>
  <c r="K128" s="1"/>
  <c r="K126" s="1"/>
  <c r="K124" s="1"/>
  <c r="J34"/>
  <c r="J128" s="1"/>
  <c r="J126" s="1"/>
  <c r="J124" s="1"/>
  <c r="G33"/>
  <c r="G32"/>
  <c r="G29"/>
  <c r="I28"/>
  <c r="H28"/>
  <c r="G26"/>
  <c r="K24"/>
  <c r="J24"/>
  <c r="J15" s="1"/>
  <c r="I24"/>
  <c r="H24"/>
  <c r="H15" s="1"/>
  <c r="K21"/>
  <c r="J21"/>
  <c r="I21"/>
  <c r="G21" s="1"/>
  <c r="H21"/>
  <c r="G19"/>
  <c r="K17"/>
  <c r="J17"/>
  <c r="I17"/>
  <c r="G17" s="1"/>
  <c r="H17"/>
  <c r="G16"/>
  <c r="K15"/>
  <c r="I15"/>
  <c r="I45" s="1"/>
  <c r="D9"/>
  <c r="H52" l="1"/>
  <c r="G15"/>
  <c r="I73"/>
  <c r="G73" s="1"/>
  <c r="G79"/>
  <c r="I84"/>
  <c r="G128"/>
  <c r="I126"/>
  <c r="H104"/>
  <c r="G106"/>
  <c r="H91"/>
  <c r="G136"/>
  <c r="G24"/>
  <c r="J30"/>
  <c r="H34"/>
  <c r="G34" s="1"/>
  <c r="I56"/>
  <c r="I52"/>
  <c r="G107"/>
  <c r="I90"/>
  <c r="G90" s="1"/>
  <c r="G137"/>
  <c r="G56" l="1"/>
  <c r="I54"/>
  <c r="H103"/>
  <c r="G103" s="1"/>
  <c r="G104"/>
  <c r="J28"/>
  <c r="J45"/>
  <c r="G30"/>
  <c r="J69"/>
  <c r="G126"/>
  <c r="I124"/>
  <c r="G124" s="1"/>
  <c r="J84" l="1"/>
  <c r="G84" s="1"/>
  <c r="G45"/>
  <c r="K31"/>
  <c r="J52"/>
  <c r="G69"/>
  <c r="J67"/>
  <c r="I91"/>
  <c r="G54"/>
  <c r="J91" l="1"/>
  <c r="K28"/>
  <c r="K70"/>
  <c r="G31"/>
  <c r="G70" l="1"/>
  <c r="K67"/>
  <c r="K52"/>
  <c r="G52" s="1"/>
  <c r="G28"/>
  <c r="K91" l="1"/>
  <c r="G91" s="1"/>
  <c r="G67"/>
  <c r="F155" i="4" l="1"/>
  <c r="I152"/>
  <c r="F152"/>
  <c r="I149"/>
  <c r="G149"/>
  <c r="H148"/>
  <c r="G147"/>
  <c r="H146"/>
  <c r="G145"/>
  <c r="G144"/>
  <c r="G143"/>
  <c r="K142"/>
  <c r="J142"/>
  <c r="I142"/>
  <c r="H142"/>
  <c r="G142" s="1"/>
  <c r="G141"/>
  <c r="G140"/>
  <c r="K139"/>
  <c r="J139"/>
  <c r="I139"/>
  <c r="G139" s="1"/>
  <c r="H139"/>
  <c r="G138"/>
  <c r="K137"/>
  <c r="J137"/>
  <c r="J136" s="1"/>
  <c r="I137"/>
  <c r="I136" s="1"/>
  <c r="H137"/>
  <c r="K136"/>
  <c r="H136"/>
  <c r="G136" s="1"/>
  <c r="G135"/>
  <c r="G134"/>
  <c r="G133"/>
  <c r="K132"/>
  <c r="J132"/>
  <c r="G132" s="1"/>
  <c r="I132"/>
  <c r="H132"/>
  <c r="G131"/>
  <c r="K130"/>
  <c r="J130"/>
  <c r="G130" s="1"/>
  <c r="I130"/>
  <c r="H130"/>
  <c r="I128"/>
  <c r="I126" s="1"/>
  <c r="I124" s="1"/>
  <c r="G127"/>
  <c r="H126"/>
  <c r="G125"/>
  <c r="H124"/>
  <c r="G123"/>
  <c r="G122"/>
  <c r="G121"/>
  <c r="K120"/>
  <c r="J120"/>
  <c r="G120" s="1"/>
  <c r="I120"/>
  <c r="H120"/>
  <c r="G119"/>
  <c r="G118"/>
  <c r="G117"/>
  <c r="G116"/>
  <c r="G115"/>
  <c r="G114"/>
  <c r="K113"/>
  <c r="J113"/>
  <c r="I113"/>
  <c r="G113" s="1"/>
  <c r="H113"/>
  <c r="G112"/>
  <c r="G111"/>
  <c r="K110"/>
  <c r="J110"/>
  <c r="G110" s="1"/>
  <c r="I110"/>
  <c r="H110"/>
  <c r="G109"/>
  <c r="G108"/>
  <c r="K107"/>
  <c r="K106" s="1"/>
  <c r="K104" s="1"/>
  <c r="K103" s="1"/>
  <c r="J107"/>
  <c r="I107"/>
  <c r="I106" s="1"/>
  <c r="I104" s="1"/>
  <c r="I103" s="1"/>
  <c r="H107"/>
  <c r="G107" s="1"/>
  <c r="J106"/>
  <c r="J104" s="1"/>
  <c r="J103" s="1"/>
  <c r="G105"/>
  <c r="G102"/>
  <c r="G101"/>
  <c r="G100"/>
  <c r="K99"/>
  <c r="J99"/>
  <c r="I99"/>
  <c r="H99"/>
  <c r="G99" s="1"/>
  <c r="G98"/>
  <c r="K97"/>
  <c r="J97"/>
  <c r="I97"/>
  <c r="H97"/>
  <c r="G97" s="1"/>
  <c r="G95"/>
  <c r="G94"/>
  <c r="G93"/>
  <c r="I90"/>
  <c r="H90"/>
  <c r="K89"/>
  <c r="G89" s="1"/>
  <c r="J89"/>
  <c r="I89"/>
  <c r="G88"/>
  <c r="K87"/>
  <c r="K90" s="1"/>
  <c r="J87"/>
  <c r="J90" s="1"/>
  <c r="I87"/>
  <c r="G86"/>
  <c r="G85"/>
  <c r="G83"/>
  <c r="I81"/>
  <c r="G81" s="1"/>
  <c r="K79"/>
  <c r="J79"/>
  <c r="J73" s="1"/>
  <c r="H79"/>
  <c r="G78"/>
  <c r="G77"/>
  <c r="K76"/>
  <c r="G76" s="1"/>
  <c r="J76"/>
  <c r="I76"/>
  <c r="G75"/>
  <c r="G74"/>
  <c r="K73"/>
  <c r="H73"/>
  <c r="G72"/>
  <c r="G71"/>
  <c r="G68"/>
  <c r="I67"/>
  <c r="H67"/>
  <c r="I65"/>
  <c r="G65"/>
  <c r="K63"/>
  <c r="J63"/>
  <c r="I63"/>
  <c r="G63" s="1"/>
  <c r="H63"/>
  <c r="K60"/>
  <c r="K54" s="1"/>
  <c r="J60"/>
  <c r="I60"/>
  <c r="H60"/>
  <c r="G60" s="1"/>
  <c r="J58"/>
  <c r="J56" s="1"/>
  <c r="J54" s="1"/>
  <c r="G58"/>
  <c r="K56"/>
  <c r="I56"/>
  <c r="G56" s="1"/>
  <c r="H56"/>
  <c r="G55"/>
  <c r="I54"/>
  <c r="K51"/>
  <c r="J51"/>
  <c r="G51" s="1"/>
  <c r="I51"/>
  <c r="H51"/>
  <c r="G50"/>
  <c r="G49"/>
  <c r="G48"/>
  <c r="I150" s="1"/>
  <c r="G47"/>
  <c r="G46"/>
  <c r="G44"/>
  <c r="G42"/>
  <c r="K40"/>
  <c r="J40"/>
  <c r="J34" s="1"/>
  <c r="I40"/>
  <c r="H40"/>
  <c r="G40"/>
  <c r="G39"/>
  <c r="G38"/>
  <c r="G37"/>
  <c r="G36"/>
  <c r="G35"/>
  <c r="K34"/>
  <c r="K128" s="1"/>
  <c r="K126" s="1"/>
  <c r="K124" s="1"/>
  <c r="I34"/>
  <c r="H34"/>
  <c r="G33"/>
  <c r="G32"/>
  <c r="G29"/>
  <c r="I28"/>
  <c r="H28"/>
  <c r="G26"/>
  <c r="K24"/>
  <c r="K15" s="1"/>
  <c r="J24"/>
  <c r="I24"/>
  <c r="I15" s="1"/>
  <c r="H24"/>
  <c r="G24" s="1"/>
  <c r="K21"/>
  <c r="J21"/>
  <c r="G21" s="1"/>
  <c r="I21"/>
  <c r="H21"/>
  <c r="G19"/>
  <c r="K17"/>
  <c r="J17"/>
  <c r="J15" s="1"/>
  <c r="I17"/>
  <c r="H17"/>
  <c r="G16"/>
  <c r="D9"/>
  <c r="I45" l="1"/>
  <c r="J30"/>
  <c r="G90"/>
  <c r="G34"/>
  <c r="J128"/>
  <c r="J126" s="1"/>
  <c r="J124" s="1"/>
  <c r="G124" s="1"/>
  <c r="J150"/>
  <c r="J148" s="1"/>
  <c r="J146" s="1"/>
  <c r="I148"/>
  <c r="G17"/>
  <c r="H15"/>
  <c r="G87"/>
  <c r="H106"/>
  <c r="G137"/>
  <c r="I79"/>
  <c r="G128"/>
  <c r="K150"/>
  <c r="K148" s="1"/>
  <c r="K146" s="1"/>
  <c r="H54"/>
  <c r="H91" l="1"/>
  <c r="G54"/>
  <c r="H52"/>
  <c r="G15"/>
  <c r="G148"/>
  <c r="I146"/>
  <c r="G146" s="1"/>
  <c r="G150"/>
  <c r="G30"/>
  <c r="J28"/>
  <c r="J69"/>
  <c r="J45"/>
  <c r="J84" s="1"/>
  <c r="G45"/>
  <c r="I84"/>
  <c r="G84" s="1"/>
  <c r="H104"/>
  <c r="G106"/>
  <c r="I73"/>
  <c r="G79"/>
  <c r="G126"/>
  <c r="I52"/>
  <c r="H103" l="1"/>
  <c r="G103" s="1"/>
  <c r="G104"/>
  <c r="I91"/>
  <c r="G73"/>
  <c r="G69"/>
  <c r="J67"/>
  <c r="J52"/>
  <c r="K31"/>
  <c r="J91" l="1"/>
  <c r="K70"/>
  <c r="G31"/>
  <c r="K28"/>
  <c r="K52" l="1"/>
  <c r="G52" s="1"/>
  <c r="G28"/>
  <c r="K67"/>
  <c r="G70"/>
  <c r="K91" l="1"/>
  <c r="G91" s="1"/>
  <c r="G67"/>
  <c r="F155" i="3" l="1"/>
  <c r="I152"/>
  <c r="F152"/>
  <c r="J150"/>
  <c r="G150" s="1"/>
  <c r="I150"/>
  <c r="I149"/>
  <c r="I148" s="1"/>
  <c r="G149"/>
  <c r="K148"/>
  <c r="H148"/>
  <c r="G147"/>
  <c r="K146"/>
  <c r="H146"/>
  <c r="G145"/>
  <c r="G144"/>
  <c r="G143"/>
  <c r="K142"/>
  <c r="J142"/>
  <c r="I142"/>
  <c r="H142"/>
  <c r="G142"/>
  <c r="G141"/>
  <c r="G140"/>
  <c r="K139"/>
  <c r="J139"/>
  <c r="I139"/>
  <c r="H139"/>
  <c r="H137" s="1"/>
  <c r="H136" s="1"/>
  <c r="G136" s="1"/>
  <c r="G139"/>
  <c r="G138"/>
  <c r="K137"/>
  <c r="K136" s="1"/>
  <c r="J137"/>
  <c r="J136" s="1"/>
  <c r="I137"/>
  <c r="I136" s="1"/>
  <c r="G137"/>
  <c r="G135"/>
  <c r="G134"/>
  <c r="G133"/>
  <c r="K132"/>
  <c r="K130" s="1"/>
  <c r="J132"/>
  <c r="I132"/>
  <c r="H132"/>
  <c r="G132" s="1"/>
  <c r="G131"/>
  <c r="J130"/>
  <c r="I130"/>
  <c r="H130"/>
  <c r="G130" s="1"/>
  <c r="G127"/>
  <c r="H126"/>
  <c r="G125"/>
  <c r="H124"/>
  <c r="G123"/>
  <c r="G122"/>
  <c r="G121"/>
  <c r="K120"/>
  <c r="J120"/>
  <c r="I120"/>
  <c r="H120"/>
  <c r="G120" s="1"/>
  <c r="G119"/>
  <c r="G118"/>
  <c r="G117"/>
  <c r="G116"/>
  <c r="G115"/>
  <c r="G114"/>
  <c r="K113"/>
  <c r="J113"/>
  <c r="I113"/>
  <c r="H113"/>
  <c r="G113"/>
  <c r="G112"/>
  <c r="G111"/>
  <c r="K110"/>
  <c r="J110"/>
  <c r="I110"/>
  <c r="H110"/>
  <c r="G110" s="1"/>
  <c r="G109"/>
  <c r="G108"/>
  <c r="K107"/>
  <c r="K106" s="1"/>
  <c r="K104" s="1"/>
  <c r="K103" s="1"/>
  <c r="J107"/>
  <c r="J106" s="1"/>
  <c r="J104" s="1"/>
  <c r="J103" s="1"/>
  <c r="I107"/>
  <c r="H107"/>
  <c r="H106"/>
  <c r="G105"/>
  <c r="H104"/>
  <c r="G102"/>
  <c r="G101"/>
  <c r="G100"/>
  <c r="K99"/>
  <c r="J99"/>
  <c r="I99"/>
  <c r="G99" s="1"/>
  <c r="H99"/>
  <c r="G98"/>
  <c r="K97"/>
  <c r="J97"/>
  <c r="I97"/>
  <c r="G97" s="1"/>
  <c r="H97"/>
  <c r="G95"/>
  <c r="G94"/>
  <c r="G93"/>
  <c r="J90"/>
  <c r="H90"/>
  <c r="K89"/>
  <c r="J89"/>
  <c r="I89"/>
  <c r="G89" s="1"/>
  <c r="G88"/>
  <c r="G86"/>
  <c r="G85"/>
  <c r="G83"/>
  <c r="I81"/>
  <c r="G81"/>
  <c r="K79"/>
  <c r="J79"/>
  <c r="I79"/>
  <c r="H79"/>
  <c r="G78"/>
  <c r="G77"/>
  <c r="K76"/>
  <c r="J76"/>
  <c r="I76"/>
  <c r="G76" s="1"/>
  <c r="G75"/>
  <c r="G74"/>
  <c r="K73"/>
  <c r="J73"/>
  <c r="G72"/>
  <c r="G71"/>
  <c r="G68"/>
  <c r="I67"/>
  <c r="H67"/>
  <c r="I65"/>
  <c r="I63" s="1"/>
  <c r="G65"/>
  <c r="K63"/>
  <c r="J63"/>
  <c r="H63"/>
  <c r="K60"/>
  <c r="J60"/>
  <c r="I60"/>
  <c r="H60"/>
  <c r="J58"/>
  <c r="G58"/>
  <c r="K56"/>
  <c r="J56"/>
  <c r="G56" s="1"/>
  <c r="I56"/>
  <c r="H56"/>
  <c r="G55"/>
  <c r="K54"/>
  <c r="H54"/>
  <c r="H51"/>
  <c r="G50"/>
  <c r="G49"/>
  <c r="K48"/>
  <c r="K87" s="1"/>
  <c r="K90" s="1"/>
  <c r="J48"/>
  <c r="J87" s="1"/>
  <c r="I48"/>
  <c r="G47"/>
  <c r="G46"/>
  <c r="G44"/>
  <c r="G42"/>
  <c r="K40"/>
  <c r="K34" s="1"/>
  <c r="K128" s="1"/>
  <c r="K126" s="1"/>
  <c r="K124" s="1"/>
  <c r="J40"/>
  <c r="J34" s="1"/>
  <c r="J128" s="1"/>
  <c r="J126" s="1"/>
  <c r="J124" s="1"/>
  <c r="I40"/>
  <c r="I34" s="1"/>
  <c r="I128" s="1"/>
  <c r="H40"/>
  <c r="G39"/>
  <c r="G38"/>
  <c r="G37"/>
  <c r="G36"/>
  <c r="G35"/>
  <c r="G33"/>
  <c r="G32"/>
  <c r="G29"/>
  <c r="I28"/>
  <c r="H28"/>
  <c r="G26"/>
  <c r="K24"/>
  <c r="J24"/>
  <c r="J15" s="1"/>
  <c r="I24"/>
  <c r="I15" s="1"/>
  <c r="H24"/>
  <c r="G24"/>
  <c r="K21"/>
  <c r="G21" s="1"/>
  <c r="J21"/>
  <c r="I21"/>
  <c r="H21"/>
  <c r="G19"/>
  <c r="K17"/>
  <c r="G17" s="1"/>
  <c r="J17"/>
  <c r="I17"/>
  <c r="H17"/>
  <c r="H15" s="1"/>
  <c r="G16"/>
  <c r="D9"/>
  <c r="H34" l="1"/>
  <c r="G34" s="1"/>
  <c r="G40"/>
  <c r="H103"/>
  <c r="I126"/>
  <c r="G128"/>
  <c r="J148"/>
  <c r="J146" s="1"/>
  <c r="K15"/>
  <c r="G15" s="1"/>
  <c r="I45"/>
  <c r="J30"/>
  <c r="I87"/>
  <c r="G48"/>
  <c r="I51"/>
  <c r="G51" s="1"/>
  <c r="I54"/>
  <c r="G60"/>
  <c r="G79"/>
  <c r="H73"/>
  <c r="H52"/>
  <c r="G63"/>
  <c r="G107"/>
  <c r="I106"/>
  <c r="I104" s="1"/>
  <c r="I103" s="1"/>
  <c r="I146"/>
  <c r="G148"/>
  <c r="J54"/>
  <c r="I73"/>
  <c r="J51"/>
  <c r="K51"/>
  <c r="J69" l="1"/>
  <c r="J28"/>
  <c r="J45"/>
  <c r="J84" s="1"/>
  <c r="G30"/>
  <c r="G54"/>
  <c r="I84"/>
  <c r="G126"/>
  <c r="I124"/>
  <c r="G124" s="1"/>
  <c r="G146"/>
  <c r="I52"/>
  <c r="G106"/>
  <c r="G104"/>
  <c r="G103"/>
  <c r="G73"/>
  <c r="H91"/>
  <c r="I90"/>
  <c r="G90" s="1"/>
  <c r="G87"/>
  <c r="G45" l="1"/>
  <c r="K31"/>
  <c r="J52"/>
  <c r="G84"/>
  <c r="G69"/>
  <c r="J67"/>
  <c r="I91"/>
  <c r="G31" l="1"/>
  <c r="K28"/>
  <c r="K70"/>
  <c r="J91"/>
  <c r="K52" l="1"/>
  <c r="G52" s="1"/>
  <c r="G28"/>
  <c r="K67"/>
  <c r="G70"/>
  <c r="K91" l="1"/>
  <c r="G91" s="1"/>
  <c r="G67"/>
</calcChain>
</file>

<file path=xl/sharedStrings.xml><?xml version="1.0" encoding="utf-8"?>
<sst xmlns="http://schemas.openxmlformats.org/spreadsheetml/2006/main" count="5310" uniqueCount="355">
  <si>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</si>
  <si>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</si>
  <si>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</si>
  <si>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</si>
  <si>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</si>
  <si>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</si>
  <si>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</si>
  <si>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</si>
  <si>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</si>
  <si>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</si>
  <si>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</si>
  <si>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</si>
  <si>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</si>
  <si>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</si>
  <si>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</si>
  <si>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</si>
  <si>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</si>
  <si>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</si>
  <si>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</si>
  <si>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</si>
  <si>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</si>
  <si>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</si>
  <si>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</si>
  <si>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</si>
  <si>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</si>
  <si>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</si>
  <si>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</si>
  <si>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</si>
  <si>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</si>
  <si>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</si>
  <si>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О</t>
  </si>
  <si>
    <t>1.2.1</t>
  </si>
  <si>
    <t>АО "РАМО-М" (филиал "КВЭП" АО "РАМО-М")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</si>
  <si>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</si>
  <si>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</si>
  <si>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</si>
  <si>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</si>
  <si>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</si>
  <si>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</si>
  <si>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</si>
  <si>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</si>
  <si>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</si>
  <si>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1.4.1</t>
  </si>
  <si>
    <t>ПАО "Кубаньэнерго"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</si>
  <si>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</si>
  <si>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</si>
  <si>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</si>
  <si>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</si>
  <si>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</si>
  <si>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</si>
  <si>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</si>
  <si>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</si>
  <si>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</si>
  <si>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</si>
  <si>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</si>
  <si>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</si>
  <si>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</si>
  <si>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</si>
  <si>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</si>
  <si>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</si>
  <si>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</si>
  <si>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</si>
  <si>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</si>
  <si>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</si>
  <si>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</si>
  <si>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</si>
  <si>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</si>
  <si>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</si>
  <si>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</si>
  <si>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</si>
  <si>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</si>
  <si>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</si>
  <si>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</si>
  <si>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</si>
  <si>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</si>
  <si>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</si>
  <si>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</si>
  <si>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</si>
  <si>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</si>
  <si>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</si>
  <si>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</si>
  <si>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АО "НЭСК-электросети"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</si>
  <si>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</si>
  <si>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</si>
  <si>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</si>
  <si>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</si>
  <si>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</si>
  <si>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</si>
  <si>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</si>
  <si>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</si>
  <si>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</si>
  <si>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</si>
  <si>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</si>
  <si>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</si>
  <si>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</si>
  <si>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</si>
  <si>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</si>
  <si>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</si>
  <si>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</si>
  <si>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</si>
  <si>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</si>
  <si>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</si>
  <si>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</si>
  <si>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</si>
  <si>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</si>
  <si>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</si>
  <si>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</si>
  <si>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</si>
  <si>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</si>
  <si>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</si>
  <si>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</si>
  <si>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</si>
  <si>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</si>
  <si>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</si>
  <si>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</si>
  <si>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</si>
  <si>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</si>
  <si>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12.2.1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</si>
  <si>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</si>
  <si>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</si>
  <si>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</si>
  <si>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</si>
  <si>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</si>
  <si>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</si>
  <si>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</si>
  <si>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</si>
  <si>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</si>
  <si>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</si>
  <si>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</si>
  <si>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</si>
  <si>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</si>
  <si>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</si>
  <si>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</si>
  <si>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</si>
  <si>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</si>
  <si>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</si>
  <si>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</si>
  <si>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</si>
  <si>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</si>
  <si>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</si>
  <si>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</si>
  <si>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</si>
  <si>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</si>
  <si>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</si>
  <si>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</si>
  <si>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</si>
  <si>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</si>
  <si>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</si>
  <si>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</si>
  <si>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</si>
  <si>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</si>
  <si>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</si>
  <si>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15.3.1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</si>
  <si>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</si>
  <si>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</si>
  <si>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</si>
  <si>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</si>
  <si>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</si>
  <si>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</si>
  <si>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</si>
  <si>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</si>
  <si>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</si>
  <si>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</si>
  <si>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</si>
  <si>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</si>
  <si>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</si>
  <si>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</si>
  <si>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</si>
  <si>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</si>
  <si>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</si>
  <si>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</si>
  <si>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</si>
  <si>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</si>
  <si>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</si>
  <si>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</si>
  <si>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</si>
  <si>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</si>
  <si>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</si>
  <si>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</si>
  <si>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</si>
  <si>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</si>
  <si>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</si>
  <si>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</si>
  <si>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</si>
  <si>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</si>
  <si>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</si>
  <si>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</si>
  <si>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</si>
  <si>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</si>
  <si>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</si>
  <si>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</si>
  <si>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</si>
  <si>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</si>
  <si>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</si>
  <si>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</si>
  <si>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</si>
  <si>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</si>
  <si>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</si>
  <si>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</si>
  <si>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</si>
  <si>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</si>
  <si>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</si>
  <si>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</si>
  <si>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</si>
  <si>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</si>
  <si>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</si>
  <si>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</si>
  <si>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</si>
  <si>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</si>
  <si>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</si>
  <si>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</si>
  <si>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</si>
  <si>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</si>
  <si>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</si>
  <si>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</si>
  <si>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</si>
  <si>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</si>
  <si>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</si>
  <si>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</si>
  <si>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</si>
  <si>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</si>
  <si>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</si>
  <si>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</si>
  <si>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</si>
  <si>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</si>
  <si>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</si>
  <si>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</si>
  <si>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</si>
  <si>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</si>
  <si>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</si>
  <si>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</si>
  <si>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</si>
  <si>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</si>
  <si>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</si>
  <si>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</si>
  <si>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</si>
  <si>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</si>
  <si>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</si>
  <si>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</si>
  <si>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</si>
  <si>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</si>
  <si>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</si>
  <si>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</si>
  <si>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</si>
  <si>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</si>
  <si>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</si>
  <si>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</si>
  <si>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</si>
  <si>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</si>
  <si>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</si>
  <si>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</si>
  <si>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</si>
  <si>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</si>
  <si>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</si>
  <si>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</si>
  <si>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</si>
  <si>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</si>
  <si>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</si>
  <si>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</si>
  <si>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</si>
  <si>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</si>
  <si>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</si>
  <si>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</si>
  <si>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</si>
  <si>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</si>
  <si>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</si>
  <si>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</si>
  <si>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</si>
  <si>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</si>
  <si>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</si>
  <si>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</si>
  <si>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</si>
  <si>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</si>
  <si>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</si>
  <si>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</si>
  <si>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</si>
  <si>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</si>
  <si>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</si>
  <si>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</si>
  <si>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</si>
  <si>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</si>
  <si>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</si>
  <si>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</si>
  <si>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</si>
  <si>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</si>
  <si>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</si>
  <si>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</si>
  <si>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</si>
  <si>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</si>
  <si>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</si>
  <si>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</si>
  <si>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</si>
  <si>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</si>
  <si>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</si>
  <si>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</si>
  <si>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</si>
  <si>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</si>
  <si>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</si>
  <si>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</si>
  <si>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</si>
  <si>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</si>
  <si>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</si>
  <si>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</si>
  <si>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</si>
  <si>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</si>
  <si>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</si>
  <si>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</si>
  <si>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</si>
  <si>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</si>
  <si>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</si>
  <si>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</si>
  <si>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</si>
  <si>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</si>
  <si>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</si>
  <si>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</si>
  <si>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</si>
  <si>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</si>
  <si>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</si>
  <si>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</si>
  <si>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</si>
  <si>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</si>
  <si>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</si>
  <si>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</si>
  <si>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</si>
  <si>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</si>
  <si>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</si>
  <si>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</si>
  <si>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</si>
  <si>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</si>
  <si>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</si>
  <si>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</si>
  <si>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</si>
  <si>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</si>
  <si>
    <t>Сведения об отпуске (передаче) электроэнергии распределительными сетевыми организациями отдельным категориям потребителей за январь 2019 г.</t>
  </si>
  <si>
    <t>Сведения об отпуске (передаче) электроэнергии распределительными сетевыми организациями отдельным категориям потребителей за февраль 2019 г.</t>
  </si>
  <si>
    <t>Сведения об отпуске (передаче) электроэнергии распределительными сетевыми организациями отдельным категориям потребителей за март 2019 г.</t>
  </si>
  <si>
    <t>Сведения об отпуске (передаче) электроэнергии распределительными сетевыми организациями отдельным категориям потребителей за апрель 2019 г.</t>
  </si>
  <si>
    <t>Сведения об отпуске (передаче) электроэнергии распределительными сетевыми организациями отдельным категориям потребителей за май 2019 г.</t>
  </si>
  <si>
    <t>Сведения об отпуске (передаче) электроэнергии распределительными сетевыми организациями отдельным категориям потребителей за июнь 2019 г.</t>
  </si>
  <si>
    <t>Сведения об отпуске (передаче) электроэнергии распределительными сетевыми организациями отдельным категориям потребителей за июль 2019 г.</t>
  </si>
  <si>
    <t>Сведения об отпуске (передаче) электроэнергии распределительными сетевыми организациями отдельным категориям потребителей за август 2019 г.</t>
  </si>
  <si>
    <t>Сведения об отпуске (передаче) электроэнергии распределительными сетевыми организациями отдельным категориям потребителей за сентябрь 2019 г.</t>
  </si>
  <si>
    <t>Сведения об отпуске (передаче) электроэнергии распределительными сетевыми организациями отдельным категориям потребителей за октябрь 2019 г.</t>
  </si>
  <si>
    <t>Сведения об отпуске (передаче) электроэнергии распределительными сетевыми организациями отдельным категориям потребителей за ноябрь 2019 г.</t>
  </si>
  <si>
    <t>Сведения об отпуске (передаче) электроэнергии распределительными сетевыми организациями отдельным категориям потребителей за декабрь 2019 г.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</si>
  <si>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</si>
  <si>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7719113976</t>
  </si>
  <si>
    <t>231143001</t>
  </si>
  <si>
    <t>26318579</t>
  </si>
  <si>
    <t>2309001660</t>
  </si>
  <si>
    <t>230901001</t>
  </si>
  <si>
    <t>26319769</t>
  </si>
  <si>
    <t>2308139496</t>
  </si>
  <si>
    <t>230750001</t>
  </si>
  <si>
    <t>26319807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</si>
</sst>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#,##0.0000"/>
    <numFmt numFmtId="166" formatCode="_-* #,##0.00[$€-1]_-;\-* #,##0.00[$€-1]_-;_-* &quot;-&quot;??[$€-1]_-"/>
    <numFmt numFmtId="167" formatCode="&quot;$&quot;#,##0_);[Red]\(&quot;$&quot;#,##0\)"/>
    <numFmt numFmtId="168" formatCode="#,##0.0"/>
  </numFmts>
  <fonts count="30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11"/>
      <name val="Tahoma"/>
      <family val="2"/>
      <charset val="204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horizontal="left" vertical="center"/>
    </xf>
    <xf numFmtId="0" fontId="2" fillId="0" borderId="0"/>
    <xf numFmtId="0" fontId="2" fillId="0" borderId="0"/>
    <xf numFmtId="0" fontId="5" fillId="0" borderId="0"/>
    <xf numFmtId="49" fontId="6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166" fontId="13" fillId="0" borderId="0"/>
    <xf numFmtId="0" fontId="14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0" fontId="8" fillId="0" borderId="13" applyNumberFormat="0" applyAlignment="0">
      <protection locked="0"/>
    </xf>
    <xf numFmtId="167" fontId="16" fillId="0" borderId="0" applyFont="0" applyFill="0" applyBorder="0" applyAlignment="0" applyProtection="0"/>
    <xf numFmtId="168" fontId="6" fillId="5" borderId="0">
      <protection locked="0"/>
    </xf>
    <xf numFmtId="0" fontId="17" fillId="0" borderId="0" applyFill="0" applyBorder="0" applyProtection="0">
      <alignment vertical="center"/>
    </xf>
    <xf numFmtId="164" fontId="6" fillId="5" borderId="0">
      <protection locked="0"/>
    </xf>
    <xf numFmtId="165" fontId="6" fillId="5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8" fillId="9" borderId="13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22" fillId="10" borderId="14" applyNumberFormat="0">
      <alignment horizontal="center"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Border="0">
      <alignment horizontal="center" vertical="center" wrapText="1"/>
    </xf>
    <xf numFmtId="0" fontId="27" fillId="0" borderId="15" applyBorder="0">
      <alignment horizontal="center" vertical="center" wrapText="1"/>
    </xf>
    <xf numFmtId="0" fontId="1" fillId="0" borderId="0"/>
    <xf numFmtId="0" fontId="1" fillId="0" borderId="0"/>
    <xf numFmtId="0" fontId="6" fillId="0" borderId="0">
      <alignment horizontal="left" vertical="center"/>
    </xf>
    <xf numFmtId="0" fontId="28" fillId="11" borderId="0" applyNumberFormat="0" applyBorder="0" applyAlignment="0">
      <alignment horizontal="left" vertical="center"/>
    </xf>
    <xf numFmtId="0" fontId="29" fillId="0" borderId="0"/>
    <xf numFmtId="49" fontId="6" fillId="11" borderId="0" applyBorder="0">
      <alignment vertical="top"/>
    </xf>
    <xf numFmtId="0" fontId="5" fillId="0" borderId="0"/>
  </cellStyleXfs>
  <cellXfs count="88">
    <xf numFmtId="0" fontId="0" fillId="0" borderId="0" xfId="0">
      <alignment horizontal="left" vertical="center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left" vertical="center" indent="1"/>
    </xf>
    <xf numFmtId="0" fontId="3" fillId="0" borderId="0" xfId="1" applyNumberFormat="1" applyFont="1" applyAlignment="1" applyProtection="1">
      <alignment vertical="center"/>
    </xf>
    <xf numFmtId="0" fontId="3" fillId="0" borderId="0" xfId="2" applyFont="1" applyAlignment="1" applyProtection="1">
      <alignment vertical="center"/>
    </xf>
    <xf numFmtId="49" fontId="3" fillId="0" borderId="0" xfId="1" applyNumberFormat="1" applyFont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49" fontId="3" fillId="0" borderId="0" xfId="4" applyFont="1" applyBorder="1" applyAlignment="1">
      <alignment horizontal="right" vertical="center"/>
    </xf>
    <xf numFmtId="0" fontId="3" fillId="0" borderId="5" xfId="1" applyFont="1" applyBorder="1" applyAlignment="1" applyProtection="1">
      <alignment vertical="center"/>
    </xf>
    <xf numFmtId="0" fontId="3" fillId="0" borderId="7" xfId="5" applyFont="1" applyBorder="1" applyAlignment="1" applyProtection="1">
      <alignment horizontal="center" vertical="center" wrapText="1"/>
    </xf>
    <xf numFmtId="0" fontId="3" fillId="0" borderId="8" xfId="5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49" fontId="3" fillId="0" borderId="0" xfId="4" applyFont="1" applyAlignment="1" applyProtection="1">
      <alignment vertical="center"/>
    </xf>
    <xf numFmtId="49" fontId="3" fillId="0" borderId="0" xfId="4" applyFont="1" applyBorder="1" applyAlignment="1" applyProtection="1">
      <alignment vertical="center"/>
    </xf>
    <xf numFmtId="49" fontId="3" fillId="0" borderId="5" xfId="4" applyFont="1" applyBorder="1" applyAlignment="1" applyProtection="1">
      <alignment vertical="center"/>
    </xf>
    <xf numFmtId="49" fontId="3" fillId="0" borderId="8" xfId="4" applyNumberFormat="1" applyFont="1" applyBorder="1" applyAlignment="1" applyProtection="1">
      <alignment vertical="center"/>
    </xf>
    <xf numFmtId="49" fontId="3" fillId="3" borderId="4" xfId="4" applyFont="1" applyFill="1" applyBorder="1" applyAlignment="1">
      <alignment vertical="center" wrapText="1"/>
    </xf>
    <xf numFmtId="49" fontId="3" fillId="0" borderId="4" xfId="4" applyFont="1" applyBorder="1" applyAlignment="1">
      <alignment horizontal="center" vertical="center" wrapText="1"/>
    </xf>
    <xf numFmtId="164" fontId="3" fillId="4" borderId="4" xfId="4" applyNumberFormat="1" applyFont="1" applyFill="1" applyBorder="1" applyAlignment="1" applyProtection="1">
      <alignment horizontal="right" vertical="center"/>
    </xf>
    <xf numFmtId="0" fontId="8" fillId="0" borderId="0" xfId="1" applyFont="1" applyProtection="1"/>
    <xf numFmtId="49" fontId="9" fillId="0" borderId="0" xfId="4" applyFont="1" applyBorder="1" applyAlignment="1">
      <alignment horizontal="center" vertical="center" wrapText="1"/>
    </xf>
    <xf numFmtId="49" fontId="3" fillId="0" borderId="4" xfId="4" applyFont="1" applyBorder="1" applyAlignment="1">
      <alignment horizontal="left" vertical="center" wrapText="1" indent="1"/>
    </xf>
    <xf numFmtId="164" fontId="3" fillId="5" borderId="4" xfId="4" applyNumberFormat="1" applyFont="1" applyFill="1" applyBorder="1" applyAlignment="1" applyProtection="1">
      <alignment horizontal="right" vertical="center"/>
      <protection locked="0"/>
    </xf>
    <xf numFmtId="49" fontId="9" fillId="0" borderId="7" xfId="4" applyNumberFormat="1" applyFont="1" applyBorder="1" applyAlignment="1" applyProtection="1">
      <alignment vertical="center"/>
    </xf>
    <xf numFmtId="49" fontId="3" fillId="0" borderId="1" xfId="4" applyFont="1" applyFill="1" applyBorder="1" applyAlignment="1" applyProtection="1">
      <alignment horizontal="left" vertical="center" wrapText="1" indent="1"/>
    </xf>
    <xf numFmtId="49" fontId="9" fillId="0" borderId="1" xfId="4" applyFont="1" applyFill="1" applyBorder="1" applyAlignment="1" applyProtection="1">
      <alignment horizontal="center" vertical="center" wrapText="1"/>
    </xf>
    <xf numFmtId="165" fontId="3" fillId="0" borderId="1" xfId="4" applyNumberFormat="1" applyFont="1" applyFill="1" applyBorder="1" applyAlignment="1" applyProtection="1">
      <alignment horizontal="right" vertical="center"/>
    </xf>
    <xf numFmtId="0" fontId="10" fillId="6" borderId="0" xfId="6" applyFont="1" applyFill="1" applyBorder="1" applyAlignment="1" applyProtection="1">
      <alignment horizontal="center" vertical="center" wrapText="1"/>
    </xf>
    <xf numFmtId="0" fontId="3" fillId="6" borderId="7" xfId="6" applyFont="1" applyFill="1" applyBorder="1" applyAlignment="1" applyProtection="1">
      <alignment horizontal="left" vertical="center"/>
    </xf>
    <xf numFmtId="0" fontId="0" fillId="7" borderId="8" xfId="7" applyNumberFormat="1" applyFont="1" applyFill="1" applyBorder="1" applyAlignment="1" applyProtection="1">
      <alignment horizontal="left" vertical="center" wrapText="1" indent="2"/>
    </xf>
    <xf numFmtId="0" fontId="3" fillId="0" borderId="7" xfId="4" applyNumberFormat="1" applyFont="1" applyBorder="1" applyAlignment="1">
      <alignment horizontal="center" vertical="center" wrapText="1"/>
    </xf>
    <xf numFmtId="164" fontId="3" fillId="4" borderId="7" xfId="4" applyNumberFormat="1" applyFont="1" applyFill="1" applyBorder="1" applyAlignment="1" applyProtection="1">
      <alignment horizontal="right" vertical="center"/>
    </xf>
    <xf numFmtId="164" fontId="3" fillId="5" borderId="7" xfId="4" applyNumberFormat="1" applyFont="1" applyFill="1" applyBorder="1" applyAlignment="1" applyProtection="1">
      <alignment horizontal="right" vertical="center"/>
      <protection locked="0"/>
    </xf>
    <xf numFmtId="164" fontId="3" fillId="5" borderId="8" xfId="4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 applyProtection="1">
      <alignment vertical="center"/>
    </xf>
    <xf numFmtId="49" fontId="9" fillId="0" borderId="0" xfId="4" applyNumberFormat="1" applyFont="1" applyAlignment="1" applyProtection="1">
      <alignment vertical="center"/>
    </xf>
    <xf numFmtId="49" fontId="12" fillId="8" borderId="7" xfId="0" applyNumberFormat="1" applyFont="1" applyFill="1" applyBorder="1" applyAlignment="1" applyProtection="1">
      <alignment horizontal="center" vertical="top"/>
    </xf>
    <xf numFmtId="0" fontId="12" fillId="8" borderId="9" xfId="0" applyFont="1" applyFill="1" applyBorder="1" applyAlignment="1" applyProtection="1">
      <alignment horizontal="left" vertical="center" indent="1"/>
    </xf>
    <xf numFmtId="0" fontId="12" fillId="8" borderId="9" xfId="0" applyFont="1" applyFill="1" applyBorder="1" applyAlignment="1" applyProtection="1">
      <alignment horizontal="center" vertical="top"/>
    </xf>
    <xf numFmtId="0" fontId="12" fillId="8" borderId="10" xfId="0" applyFont="1" applyFill="1" applyBorder="1" applyAlignment="1" applyProtection="1">
      <alignment horizontal="center" vertical="top"/>
    </xf>
    <xf numFmtId="49" fontId="9" fillId="0" borderId="0" xfId="4" applyFont="1" applyBorder="1" applyAlignment="1" applyProtection="1">
      <alignment vertical="center"/>
    </xf>
    <xf numFmtId="165" fontId="3" fillId="0" borderId="4" xfId="4" applyNumberFormat="1" applyFont="1" applyFill="1" applyBorder="1" applyAlignment="1" applyProtection="1">
      <alignment horizontal="right" vertical="center"/>
    </xf>
    <xf numFmtId="49" fontId="3" fillId="3" borderId="4" xfId="4" applyFont="1" applyFill="1" applyBorder="1" applyAlignment="1">
      <alignment horizontal="left" vertical="center" wrapText="1"/>
    </xf>
    <xf numFmtId="49" fontId="3" fillId="0" borderId="4" xfId="4" applyFont="1" applyFill="1" applyBorder="1" applyAlignment="1" applyProtection="1">
      <alignment horizontal="center" vertical="center" wrapText="1"/>
    </xf>
    <xf numFmtId="49" fontId="3" fillId="0" borderId="4" xfId="4" applyFont="1" applyBorder="1" applyAlignment="1">
      <alignment horizontal="left" vertical="center" wrapText="1" indent="2"/>
    </xf>
    <xf numFmtId="49" fontId="3" fillId="0" borderId="4" xfId="4" applyFont="1" applyBorder="1" applyAlignment="1">
      <alignment horizontal="left" vertical="center" wrapText="1" indent="3"/>
    </xf>
    <xf numFmtId="0" fontId="12" fillId="8" borderId="7" xfId="0" applyFont="1" applyFill="1" applyBorder="1" applyAlignment="1" applyProtection="1">
      <alignment horizontal="center" vertical="top"/>
    </xf>
    <xf numFmtId="49" fontId="3" fillId="0" borderId="4" xfId="4" applyFont="1" applyFill="1" applyBorder="1" applyAlignment="1" applyProtection="1">
      <alignment horizontal="left" vertical="center" wrapText="1" indent="1"/>
    </xf>
    <xf numFmtId="164" fontId="3" fillId="0" borderId="4" xfId="4" applyNumberFormat="1" applyFont="1" applyFill="1" applyBorder="1" applyAlignment="1" applyProtection="1">
      <alignment horizontal="right" vertical="center"/>
    </xf>
    <xf numFmtId="49" fontId="3" fillId="0" borderId="8" xfId="1" applyNumberFormat="1" applyFont="1" applyBorder="1" applyAlignment="1" applyProtection="1">
      <alignment vertical="center"/>
    </xf>
    <xf numFmtId="164" fontId="3" fillId="5" borderId="4" xfId="1" applyNumberFormat="1" applyFont="1" applyFill="1" applyBorder="1" applyAlignment="1" applyProtection="1">
      <alignment horizontal="right" vertical="center"/>
      <protection locked="0"/>
    </xf>
    <xf numFmtId="164" fontId="3" fillId="4" borderId="4" xfId="1" applyNumberFormat="1" applyFont="1" applyFill="1" applyBorder="1" applyAlignment="1" applyProtection="1">
      <alignment horizontal="right" vertical="center"/>
    </xf>
    <xf numFmtId="164" fontId="3" fillId="4" borderId="4" xfId="8" applyNumberFormat="1" applyFont="1" applyFill="1" applyBorder="1" applyAlignment="1" applyProtection="1">
      <alignment horizontal="right" vertical="center"/>
    </xf>
    <xf numFmtId="49" fontId="3" fillId="0" borderId="4" xfId="4" applyFont="1" applyBorder="1" applyAlignment="1">
      <alignment horizontal="left" vertical="center" wrapText="1" indent="4"/>
    </xf>
    <xf numFmtId="0" fontId="9" fillId="0" borderId="0" xfId="1" applyFont="1" applyBorder="1" applyAlignment="1" applyProtection="1">
      <alignment vertical="center"/>
    </xf>
    <xf numFmtId="0" fontId="3" fillId="0" borderId="5" xfId="1" applyFont="1" applyFill="1" applyBorder="1" applyAlignment="1" applyProtection="1">
      <alignment vertical="center"/>
    </xf>
    <xf numFmtId="164" fontId="3" fillId="5" borderId="4" xfId="8" applyNumberFormat="1" applyFont="1" applyFill="1" applyBorder="1" applyAlignment="1" applyProtection="1">
      <alignment horizontal="right" vertical="center"/>
      <protection locked="0"/>
    </xf>
    <xf numFmtId="164" fontId="3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3" fillId="4" borderId="4" xfId="1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1" xfId="1" applyFont="1" applyBorder="1" applyProtection="1"/>
    <xf numFmtId="0" fontId="8" fillId="0" borderId="0" xfId="1" applyFont="1" applyBorder="1" applyProtection="1"/>
    <xf numFmtId="0" fontId="8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vertical="center"/>
    </xf>
    <xf numFmtId="164" fontId="6" fillId="5" borderId="16" xfId="49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</xf>
    <xf numFmtId="0" fontId="3" fillId="0" borderId="7" xfId="5" applyFont="1" applyBorder="1" applyAlignment="1" applyProtection="1">
      <alignment horizontal="center" vertical="center" wrapText="1"/>
    </xf>
    <xf numFmtId="0" fontId="8" fillId="0" borderId="11" xfId="1" applyNumberFormat="1" applyFont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left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4" xfId="5" applyFont="1" applyBorder="1" applyAlignment="1" applyProtection="1">
      <alignment horizontal="center" vertical="center" wrapText="1"/>
    </xf>
    <xf numFmtId="0" fontId="3" fillId="0" borderId="7" xfId="5" applyFont="1" applyBorder="1" applyAlignment="1" applyProtection="1">
      <alignment horizontal="center" vertical="center" wrapText="1"/>
    </xf>
    <xf numFmtId="0" fontId="3" fillId="0" borderId="3" xfId="5" applyFont="1" applyBorder="1" applyAlignment="1" applyProtection="1">
      <alignment horizontal="center" vertical="center" wrapText="1"/>
    </xf>
    <xf numFmtId="49" fontId="3" fillId="2" borderId="7" xfId="4" applyFont="1" applyFill="1" applyBorder="1" applyAlignment="1">
      <alignment horizontal="center" vertical="center"/>
    </xf>
    <xf numFmtId="49" fontId="3" fillId="2" borderId="9" xfId="4" applyFont="1" applyFill="1" applyBorder="1" applyAlignment="1">
      <alignment horizontal="center" vertical="center"/>
    </xf>
    <xf numFmtId="49" fontId="3" fillId="2" borderId="10" xfId="4" applyFont="1" applyFill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12" xfId="1" applyFont="1" applyBorder="1" applyAlignment="1" applyProtection="1">
      <alignment horizontal="center" vertical="center"/>
    </xf>
  </cellXfs>
  <cellStyles count="50">
    <cellStyle name=" 1" xfId="9"/>
    <cellStyle name=" 1 2" xfId="10"/>
    <cellStyle name=" 1_Stage1" xfId="11"/>
    <cellStyle name="_Model_RAB Мой_PR.PROG.WARM.NOTCOMBI.2012.2.16_v1.4(04.04.11) " xfId="12"/>
    <cellStyle name="_Model_RAB Мой_Книга2_PR.PROG.WARM.NOTCOMBI.2012.2.16_v1.4(04.04.11) " xfId="13"/>
    <cellStyle name="_Model_RAB_MRSK_svod_PR.PROG.WARM.NOTCOMBI.2012.2.16_v1.4(04.04.11) " xfId="14"/>
    <cellStyle name="_Model_RAB_MRSK_svod_Книга2_PR.PROG.WARM.NOTCOMBI.2012.2.16_v1.4(04.04.11) " xfId="15"/>
    <cellStyle name="_МОДЕЛЬ_1 (2)_PR.PROG.WARM.NOTCOMBI.2012.2.16_v1.4(04.04.11) " xfId="16"/>
    <cellStyle name="_МОДЕЛЬ_1 (2)_Книга2_PR.PROG.WARM.NOTCOMBI.2012.2.16_v1.4(04.04.11) " xfId="17"/>
    <cellStyle name="_пр 5 тариф RAB_PR.PROG.WARM.NOTCOMBI.2012.2.16_v1.4(04.04.11) " xfId="18"/>
    <cellStyle name="_пр 5 тариф RAB_Книга2_PR.PROG.WARM.NOTCOMBI.2012.2.16_v1.4(04.04.11) " xfId="19"/>
    <cellStyle name="_Расчет RAB_22072008_PR.PROG.WARM.NOTCOMBI.2012.2.16_v1.4(04.04.11) " xfId="20"/>
    <cellStyle name="_Расчет RAB_22072008_Книга2_PR.PROG.WARM.NOTCOMBI.2012.2.16_v1.4(04.04.11) " xfId="21"/>
    <cellStyle name="_Расчет RAB_Лен и МОЭСК_с 2010 года_14.04.2009_со сглаж_version 3.0_без ФСК_PR.PROG.WARM.NOTCOMBI.2012.2.16_v1.4(04.04.11) " xfId="22"/>
    <cellStyle name="_Расчет RAB_Лен и МОЭСК_с 2010 года_14.04.2009_со сглаж_version 3.0_без ФСК_Книга2_PR.PROG.WARM.NOTCOMBI.2012.2.16_v1.4(04.04.11) " xfId="23"/>
    <cellStyle name="Cells 2" xfId="24"/>
    <cellStyle name="Currency [0]" xfId="25"/>
    <cellStyle name="currency1" xfId="26"/>
    <cellStyle name="Currency2" xfId="27"/>
    <cellStyle name="currency3" xfId="28"/>
    <cellStyle name="currency4" xfId="29"/>
    <cellStyle name="Followed Hyperlink" xfId="30"/>
    <cellStyle name="Header 3" xfId="31"/>
    <cellStyle name="Hyperlink" xfId="32"/>
    <cellStyle name="normal" xfId="33"/>
    <cellStyle name="Normal1" xfId="34"/>
    <cellStyle name="Normal2" xfId="35"/>
    <cellStyle name="Percent1" xfId="36"/>
    <cellStyle name="Title 4" xfId="37"/>
    <cellStyle name="Гиперссылка 2 2 2" xfId="38"/>
    <cellStyle name="Гиперссылка 4 6" xfId="39"/>
    <cellStyle name="Гиперссылка 5" xfId="40"/>
    <cellStyle name="Заголовок" xfId="41"/>
    <cellStyle name="ЗаголовокСтолбца" xfId="42"/>
    <cellStyle name="Обычный" xfId="0" builtinId="0"/>
    <cellStyle name="Обычный 10" xfId="4"/>
    <cellStyle name="Обычный 11" xfId="43"/>
    <cellStyle name="Обычный 12 3 2" xfId="44"/>
    <cellStyle name="Обычный 2" xfId="45"/>
    <cellStyle name="Обычный 2 14" xfId="46"/>
    <cellStyle name="Обычный 3" xfId="47"/>
    <cellStyle name="Обычный 3 3 2" xfId="48"/>
    <cellStyle name="Обычный_MINENERGO.340.PRIL79(v0.1)" xfId="6"/>
    <cellStyle name="Обычный_ЖКУ_проект3" xfId="7"/>
    <cellStyle name="Обычный_Котёл Сети_Форма 46 - передача" xfId="49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Продажа" xfId="8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0\&#1076;&#1086;%2020%20&#1077;&#1078;&#1077;&#1084;&#1077;&#1089;%20&#1082;&#1086;&#1090;&#1077;&#1083;%20&#1085;&#1077;&#1090;%20&#1092;&#1072;&#1082;&#1090;\2019\46EP.STX(v1.0)%20&#1075;&#1086;&#1076;%202019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089;&#1077;&#1085;&#1090;&#1103;&#1073;&#1088;&#1100;%202019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086;&#1082;&#1090;&#1103;&#1073;&#1088;&#1100;%202019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085;&#1086;&#1103;&#1073;&#1088;&#1100;%202019.xlsb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076;&#1077;&#1082;&#1072;&#1073;&#1088;&#1100;%202019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zikova\Desktop\&#1050;&#1042;&#1069;&#1055;\&#1054;&#1054;&#1054;%20&#1045;&#1048;&#1040;&#1057;\2020%2046-&#1101;&#1101;%20-%20&#1076;&#1086;%2025%20&#1095;&#1080;&#1089;&#1083;&#1072;%20&#1077;&#1078;&#1077;&#1084;&#1077;&#1089;\2019\46EP.STX(v1.0)%20&#1075;&#1086;&#1076;%202019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103;&#1085;&#1074;&#1072;&#1088;&#1100;%202019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092;&#1077;&#1074;&#1088;&#1072;&#1083;&#1100;%202019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084;&#1072;&#1088;&#1090;%202019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072;&#1087;&#1088;&#1077;&#1083;&#1100;%202019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084;&#1072;&#1081;%202019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080;&#1102;&#1085;&#1100;%202019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080;&#1102;&#1083;&#1100;%202019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1040;&#1085;&#1077;%20&#1050;&#1042;&#1069;&#1055;\&#1054;&#1054;&#1054;%20&#1045;&#1048;&#1040;&#1057;\2019%2046-&#1101;&#1101;\46EP.STX(v1.0)%20&#1072;&#1074;&#1075;&#1091;&#1089;&#1090;%202019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>
        <row r="3">
          <cell r="B3" t="str">
            <v>Версия 1.0</v>
          </cell>
        </row>
      </sheetData>
      <sheetData sheetId="1" refreshError="1"/>
      <sheetData sheetId="2" refreshError="1">
        <row r="15">
          <cell r="G15" t="str">
            <v>ООО "КВЭП"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D2" t="str">
            <v>январь</v>
          </cell>
          <cell r="E2">
            <v>2018</v>
          </cell>
          <cell r="F2" t="str">
            <v>Да</v>
          </cell>
          <cell r="G2" t="str">
            <v>В целом по организации</v>
          </cell>
        </row>
        <row r="3">
          <cell r="D3" t="str">
            <v>февраль</v>
          </cell>
          <cell r="E3">
            <v>2019</v>
          </cell>
          <cell r="F3" t="str">
            <v>Нет</v>
          </cell>
          <cell r="G3" t="str">
            <v>По обособленному подразделению</v>
          </cell>
        </row>
        <row r="4">
          <cell r="D4" t="str">
            <v>март</v>
          </cell>
          <cell r="E4">
            <v>2020</v>
          </cell>
        </row>
        <row r="5">
          <cell r="D5" t="str">
            <v>апрель</v>
          </cell>
          <cell r="E5">
            <v>2021</v>
          </cell>
        </row>
        <row r="6">
          <cell r="D6" t="str">
            <v>май</v>
          </cell>
          <cell r="E6">
            <v>2022</v>
          </cell>
        </row>
        <row r="7">
          <cell r="D7" t="str">
            <v>июнь</v>
          </cell>
        </row>
        <row r="8">
          <cell r="D8" t="str">
            <v>июль</v>
          </cell>
        </row>
        <row r="9">
          <cell r="D9" t="str">
            <v>август</v>
          </cell>
        </row>
        <row r="10">
          <cell r="D10" t="str">
            <v>сентябрь</v>
          </cell>
        </row>
        <row r="11">
          <cell r="D11" t="str">
            <v>октябрь</v>
          </cell>
        </row>
        <row r="12">
          <cell r="D12" t="str">
            <v>ноябрь</v>
          </cell>
        </row>
        <row r="13">
          <cell r="D13" t="str">
            <v>декабрь</v>
          </cell>
        </row>
        <row r="14">
          <cell r="D14" t="str">
            <v>год</v>
          </cell>
        </row>
        <row r="23">
          <cell r="D23" t="str">
            <v>https://portal.eias.ru/Portal/DownloadPage.aspx?type=12&amp;guid=????????-????-????-????-????????????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E2" t="str">
            <v>Абинский муниципальный район</v>
          </cell>
        </row>
        <row r="3">
          <cell r="E3" t="str">
            <v>Апшеронский муниципальный район</v>
          </cell>
        </row>
        <row r="4">
          <cell r="E4" t="str">
            <v>Белоглинский муниципальный район</v>
          </cell>
        </row>
        <row r="5">
          <cell r="E5" t="str">
            <v>Белореченский муниципальный район</v>
          </cell>
        </row>
        <row r="6">
          <cell r="E6" t="str">
            <v>Брюховецкий муниципальный район</v>
          </cell>
        </row>
        <row r="7">
          <cell r="E7" t="str">
            <v>Выселковский муниципальный район</v>
          </cell>
        </row>
        <row r="8">
          <cell r="E8" t="str">
            <v>Город Армавир</v>
          </cell>
        </row>
        <row r="9">
          <cell r="E9" t="str">
            <v>Город Горячий Ключ</v>
          </cell>
        </row>
        <row r="10">
          <cell r="E10" t="str">
            <v>Город Краснодар</v>
          </cell>
        </row>
        <row r="11">
          <cell r="E11" t="str">
            <v>Город Новороссийск</v>
          </cell>
        </row>
        <row r="12">
          <cell r="E12" t="str">
            <v>Город-курорт Анапа</v>
          </cell>
        </row>
        <row r="13">
          <cell r="E13" t="str">
            <v>Город-курорт Геленджик</v>
          </cell>
        </row>
        <row r="14">
          <cell r="E14" t="str">
            <v>Город-курорт Сочи</v>
          </cell>
        </row>
        <row r="15">
          <cell r="E15" t="str">
            <v>Гулькевичский муниципальный район</v>
          </cell>
        </row>
        <row r="16">
          <cell r="E16" t="str">
            <v>Динской муниципальный район</v>
          </cell>
        </row>
        <row r="17">
          <cell r="E17" t="str">
            <v>Ейский муниципальный район</v>
          </cell>
        </row>
        <row r="18">
          <cell r="E18" t="str">
            <v>Кавказский муниципальный район</v>
          </cell>
        </row>
        <row r="19">
          <cell r="E19" t="str">
            <v>Калининский муниципальный район</v>
          </cell>
        </row>
        <row r="20">
          <cell r="E20" t="str">
            <v>Каневской муниципальный район</v>
          </cell>
        </row>
        <row r="21">
          <cell r="E21" t="str">
            <v>Кореновский муниципальный район</v>
          </cell>
        </row>
        <row r="22">
          <cell r="E22" t="str">
            <v>Красноармейский муниципальный район</v>
          </cell>
        </row>
        <row r="23">
          <cell r="E23" t="str">
            <v>Крыловский муниципальный район</v>
          </cell>
        </row>
        <row r="24">
          <cell r="E24" t="str">
            <v>Крымский муниципальный район</v>
          </cell>
        </row>
        <row r="25">
          <cell r="E25" t="str">
            <v>Курганинский муниципальный район</v>
          </cell>
        </row>
        <row r="26">
          <cell r="E26" t="str">
            <v>Кущевский муниципальный район</v>
          </cell>
        </row>
        <row r="27">
          <cell r="E27" t="str">
            <v>Лабинский муниципальный район</v>
          </cell>
        </row>
        <row r="28">
          <cell r="E28" t="str">
            <v>Ленинградский муниципальный район</v>
          </cell>
        </row>
        <row r="29">
          <cell r="E29" t="str">
            <v>Мостовский муниципальный район</v>
          </cell>
        </row>
        <row r="30">
          <cell r="E30" t="str">
            <v>Новокубанский муниципальный район</v>
          </cell>
        </row>
        <row r="31">
          <cell r="E31" t="str">
            <v>Новопокровский муниципальный район</v>
          </cell>
        </row>
        <row r="32">
          <cell r="E32" t="str">
            <v>Отрадненский муниципальный район</v>
          </cell>
        </row>
        <row r="33">
          <cell r="E33" t="str">
            <v>Павловский муниципальный район</v>
          </cell>
        </row>
        <row r="34">
          <cell r="E34" t="str">
            <v>Приморско-Ахтарский муниципальный район</v>
          </cell>
        </row>
        <row r="35">
          <cell r="E35" t="str">
            <v>Северский муниципальный район</v>
          </cell>
        </row>
        <row r="36">
          <cell r="E36" t="str">
            <v>Славянский муниципальный район</v>
          </cell>
        </row>
        <row r="37">
          <cell r="E37" t="str">
            <v>Староминский муниципальный район</v>
          </cell>
        </row>
        <row r="38">
          <cell r="E38" t="str">
            <v>Тбилисский муниципальный район</v>
          </cell>
        </row>
        <row r="39">
          <cell r="E39" t="str">
            <v>Темрюкский муниципальный район</v>
          </cell>
        </row>
        <row r="40">
          <cell r="E40" t="str">
            <v>Тимашевский муниципальный район</v>
          </cell>
        </row>
        <row r="41">
          <cell r="E41" t="str">
            <v>Тихорецкий муниципальный район</v>
          </cell>
        </row>
        <row r="42">
          <cell r="E42" t="str">
            <v>Туапсинский муниципальный район</v>
          </cell>
        </row>
        <row r="43">
          <cell r="E43" t="str">
            <v>Успенский муниципальный район</v>
          </cell>
        </row>
        <row r="44">
          <cell r="E44" t="str">
            <v>Усть-Лабинский муниципальный район</v>
          </cell>
        </row>
        <row r="45">
          <cell r="E45" t="str">
            <v>Щербиновский муниципальный район</v>
          </cell>
        </row>
        <row r="63">
          <cell r="B63" t="str">
            <v>Город Краснодар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15">
          <cell r="G15" t="str">
            <v>ООО "КВЭП"</v>
          </cell>
        </row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 refreshError="1"/>
      <sheetData sheetId="5" refreshError="1"/>
      <sheetData sheetId="6" refreshError="1"/>
      <sheetData sheetId="7">
        <row r="2">
          <cell r="D2" t="str">
            <v>январь</v>
          </cell>
          <cell r="E2">
            <v>2018</v>
          </cell>
          <cell r="F2" t="str">
            <v>Да</v>
          </cell>
          <cell r="G2" t="str">
            <v>В целом по организации</v>
          </cell>
        </row>
        <row r="3">
          <cell r="D3" t="str">
            <v>февраль</v>
          </cell>
          <cell r="E3">
            <v>2019</v>
          </cell>
          <cell r="F3" t="str">
            <v>Нет</v>
          </cell>
          <cell r="G3" t="str">
            <v>По обособленному подразделению</v>
          </cell>
        </row>
        <row r="4">
          <cell r="D4" t="str">
            <v>март</v>
          </cell>
          <cell r="E4">
            <v>2020</v>
          </cell>
        </row>
        <row r="5">
          <cell r="D5" t="str">
            <v>апрель</v>
          </cell>
          <cell r="E5">
            <v>2021</v>
          </cell>
        </row>
        <row r="6">
          <cell r="D6" t="str">
            <v>май</v>
          </cell>
          <cell r="E6">
            <v>2022</v>
          </cell>
        </row>
        <row r="7">
          <cell r="D7" t="str">
            <v>июнь</v>
          </cell>
        </row>
        <row r="8">
          <cell r="D8" t="str">
            <v>июль</v>
          </cell>
        </row>
        <row r="9">
          <cell r="D9" t="str">
            <v>август</v>
          </cell>
        </row>
        <row r="10">
          <cell r="D10" t="str">
            <v>сентябрь</v>
          </cell>
        </row>
        <row r="11">
          <cell r="D11" t="str">
            <v>октябрь</v>
          </cell>
        </row>
        <row r="12">
          <cell r="D12" t="str">
            <v>ноябрь</v>
          </cell>
        </row>
        <row r="13">
          <cell r="D13" t="str">
            <v>декабрь</v>
          </cell>
        </row>
        <row r="14">
          <cell r="D14" t="str">
            <v>год</v>
          </cell>
        </row>
        <row r="23">
          <cell r="D23" t="str">
            <v>https://portal.eias.ru/Portal/DownloadPage.aspx?type=12&amp;guid=????????-????-????-????-????????????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E2" t="str">
            <v>Абинский муниципальный район</v>
          </cell>
        </row>
        <row r="3">
          <cell r="E3" t="str">
            <v>Апшеронский муниципальный район</v>
          </cell>
        </row>
        <row r="4">
          <cell r="E4" t="str">
            <v>Белоглинский муниципальный район</v>
          </cell>
        </row>
        <row r="5">
          <cell r="E5" t="str">
            <v>Белореченский муниципальный район</v>
          </cell>
        </row>
        <row r="6">
          <cell r="E6" t="str">
            <v>Брюховецкий муниципальный район</v>
          </cell>
        </row>
        <row r="7">
          <cell r="E7" t="str">
            <v>Выселковский муниципальный район</v>
          </cell>
        </row>
        <row r="8">
          <cell r="E8" t="str">
            <v>Город Армавир</v>
          </cell>
        </row>
        <row r="9">
          <cell r="E9" t="str">
            <v>Город Горячий Ключ</v>
          </cell>
        </row>
        <row r="10">
          <cell r="E10" t="str">
            <v>Город Краснодар</v>
          </cell>
        </row>
        <row r="11">
          <cell r="E11" t="str">
            <v>Город Новороссийск</v>
          </cell>
        </row>
        <row r="12">
          <cell r="E12" t="str">
            <v>Город-курорт Анапа</v>
          </cell>
        </row>
        <row r="13">
          <cell r="E13" t="str">
            <v>Город-курорт Геленджик</v>
          </cell>
        </row>
        <row r="14">
          <cell r="E14" t="str">
            <v>Город-курорт Сочи</v>
          </cell>
        </row>
        <row r="15">
          <cell r="E15" t="str">
            <v>Гулькевичский муниципальный район</v>
          </cell>
        </row>
        <row r="16">
          <cell r="E16" t="str">
            <v>Динской муниципальный район</v>
          </cell>
        </row>
        <row r="17">
          <cell r="E17" t="str">
            <v>Ейский муниципальный район</v>
          </cell>
        </row>
        <row r="18">
          <cell r="E18" t="str">
            <v>Кавказский муниципальный район</v>
          </cell>
        </row>
        <row r="19">
          <cell r="E19" t="str">
            <v>Калининский муниципальный район</v>
          </cell>
        </row>
        <row r="20">
          <cell r="E20" t="str">
            <v>Каневской муниципальный район</v>
          </cell>
        </row>
        <row r="21">
          <cell r="E21" t="str">
            <v>Кореновский муниципальный район</v>
          </cell>
        </row>
        <row r="22">
          <cell r="E22" t="str">
            <v>Красноармейский муниципальный район</v>
          </cell>
        </row>
        <row r="23">
          <cell r="E23" t="str">
            <v>Крыловский муниципальный район</v>
          </cell>
        </row>
        <row r="24">
          <cell r="E24" t="str">
            <v>Крымский муниципальный район</v>
          </cell>
        </row>
        <row r="25">
          <cell r="E25" t="str">
            <v>Курганинский муниципальный район</v>
          </cell>
        </row>
        <row r="26">
          <cell r="E26" t="str">
            <v>Кущевский муниципальный район</v>
          </cell>
        </row>
        <row r="27">
          <cell r="E27" t="str">
            <v>Лабинский муниципальный район</v>
          </cell>
        </row>
        <row r="28">
          <cell r="E28" t="str">
            <v>Ленинградский муниципальный район</v>
          </cell>
        </row>
        <row r="29">
          <cell r="E29" t="str">
            <v>Мостовский муниципальный район</v>
          </cell>
        </row>
        <row r="30">
          <cell r="E30" t="str">
            <v>Новокубанский муниципальный район</v>
          </cell>
        </row>
        <row r="31">
          <cell r="E31" t="str">
            <v>Новопокровский муниципальный район</v>
          </cell>
        </row>
        <row r="32">
          <cell r="E32" t="str">
            <v>Отрадненский муниципальный район</v>
          </cell>
        </row>
        <row r="33">
          <cell r="E33" t="str">
            <v>Павловский муниципальный район</v>
          </cell>
        </row>
        <row r="34">
          <cell r="E34" t="str">
            <v>Приморско-Ахтарский муниципальный район</v>
          </cell>
        </row>
        <row r="35">
          <cell r="E35" t="str">
            <v>Северский муниципальный район</v>
          </cell>
        </row>
        <row r="36">
          <cell r="E36" t="str">
            <v>Славянский муниципальный район</v>
          </cell>
        </row>
        <row r="37">
          <cell r="E37" t="str">
            <v>Староминский муниципальный район</v>
          </cell>
        </row>
        <row r="38">
          <cell r="E38" t="str">
            <v>Тбилисский муниципальный район</v>
          </cell>
        </row>
        <row r="39">
          <cell r="E39" t="str">
            <v>Темрюкский муниципальный район</v>
          </cell>
        </row>
        <row r="40">
          <cell r="E40" t="str">
            <v>Тимашевский муниципальный район</v>
          </cell>
        </row>
        <row r="41">
          <cell r="E41" t="str">
            <v>Тихорецкий муниципальный район</v>
          </cell>
        </row>
        <row r="42">
          <cell r="E42" t="str">
            <v>Туапсинский муниципальный район</v>
          </cell>
        </row>
        <row r="43">
          <cell r="E43" t="str">
            <v>Успенский муниципальный район</v>
          </cell>
        </row>
        <row r="44">
          <cell r="E44" t="str">
            <v>Усть-Лабинский муниципальный район</v>
          </cell>
        </row>
        <row r="45">
          <cell r="E45" t="str">
            <v>Щербиновский муниципальный район</v>
          </cell>
        </row>
        <row r="63">
          <cell r="B63" t="str">
            <v>Город Краснодар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Гизикова А.Н.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31"/>
  </sheetPr>
  <dimension ref="A1:CC185"/>
  <sheetViews>
    <sheetView topLeftCell="C7" workbookViewId="0">
      <selection activeCell="D9" sqref="D9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333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5952.24</v>
      </c>
      <c r="H15" s="23">
        <f>H16+H17+H21+H24</f>
        <v>0</v>
      </c>
      <c r="I15" s="23">
        <f>I16+I17+I21+I24</f>
        <v>5945.7049999999999</v>
      </c>
      <c r="J15" s="23">
        <f>J16+J17+J21+J24</f>
        <v>6.5350000000000001</v>
      </c>
      <c r="K15" s="23">
        <f>K16+K17+K21+K24</f>
        <v>0</v>
      </c>
      <c r="L15" s="19"/>
      <c r="M15" s="24"/>
      <c r="P15" s="25"/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6" si="0">SUM(H16:K16)</f>
        <v>0</v>
      </c>
      <c r="H16" s="27"/>
      <c r="I16" s="27"/>
      <c r="J16" s="27"/>
      <c r="K16" s="27"/>
      <c r="L16" s="19"/>
      <c r="M16" s="24"/>
      <c r="P16" s="25"/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6.5350000000000001</v>
      </c>
      <c r="H17" s="23">
        <f>SUM(H18:H20)</f>
        <v>0</v>
      </c>
      <c r="I17" s="23">
        <f>SUM(I18:I20)</f>
        <v>0</v>
      </c>
      <c r="J17" s="23">
        <f>SUM(J18:J20)</f>
        <v>6.5350000000000001</v>
      </c>
      <c r="K17" s="23">
        <f>SUM(K18:K20)</f>
        <v>0</v>
      </c>
      <c r="L17" s="19"/>
      <c r="M17" s="24"/>
      <c r="P17" s="25"/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32" t="s">
        <v>30</v>
      </c>
      <c r="D19" s="33" t="s">
        <v>31</v>
      </c>
      <c r="E19" s="34" t="s">
        <v>32</v>
      </c>
      <c r="F19" s="35">
        <v>31</v>
      </c>
      <c r="G19" s="36">
        <f>SUM(H19:K19)</f>
        <v>6.5350000000000001</v>
      </c>
      <c r="H19" s="37"/>
      <c r="I19" s="37"/>
      <c r="J19" s="37">
        <v>6.5350000000000001</v>
      </c>
      <c r="K19" s="38"/>
      <c r="L19" s="19"/>
      <c r="M19" s="39"/>
      <c r="N19" s="40"/>
      <c r="O19" s="40"/>
    </row>
    <row r="20" spans="3:16" s="17" customFormat="1" ht="15" customHeight="1">
      <c r="C20" s="18"/>
      <c r="D20" s="41"/>
      <c r="E20" s="42" t="s">
        <v>33</v>
      </c>
      <c r="F20" s="43"/>
      <c r="G20" s="43"/>
      <c r="H20" s="43"/>
      <c r="I20" s="43"/>
      <c r="J20" s="43"/>
      <c r="K20" s="44"/>
      <c r="L20" s="19"/>
      <c r="M20" s="24"/>
      <c r="P20" s="45"/>
    </row>
    <row r="21" spans="3:16" s="17" customFormat="1" ht="15" customHeight="1">
      <c r="C21" s="18"/>
      <c r="D21" s="20" t="s">
        <v>34</v>
      </c>
      <c r="E21" s="26" t="s">
        <v>35</v>
      </c>
      <c r="F21" s="22" t="s">
        <v>36</v>
      </c>
      <c r="G21" s="23">
        <f t="shared" si="0"/>
        <v>0</v>
      </c>
      <c r="H21" s="23">
        <f>SUM(H22:H23)</f>
        <v>0</v>
      </c>
      <c r="I21" s="23">
        <f>SUM(I22:I23)</f>
        <v>0</v>
      </c>
      <c r="J21" s="23">
        <f>SUM(J22:J23)</f>
        <v>0</v>
      </c>
      <c r="K21" s="23">
        <f>SUM(K22:K23)</f>
        <v>0</v>
      </c>
      <c r="L21" s="19"/>
      <c r="M21" s="24"/>
      <c r="P21" s="45"/>
    </row>
    <row r="22" spans="3:16" s="17" customFormat="1" ht="12.75" hidden="1">
      <c r="C22" s="18"/>
      <c r="D22" s="28" t="s">
        <v>37</v>
      </c>
      <c r="E22" s="29"/>
      <c r="F22" s="30" t="s">
        <v>36</v>
      </c>
      <c r="G22" s="31"/>
      <c r="H22" s="31"/>
      <c r="I22" s="31"/>
      <c r="J22" s="31"/>
      <c r="K22" s="31"/>
      <c r="L22" s="19"/>
      <c r="M22" s="24"/>
      <c r="P22" s="25"/>
    </row>
    <row r="23" spans="3:16" s="17" customFormat="1" ht="15" customHeight="1">
      <c r="C23" s="18"/>
      <c r="D23" s="41"/>
      <c r="E23" s="42" t="s">
        <v>33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>
      <c r="C24" s="18"/>
      <c r="D24" s="20" t="s">
        <v>38</v>
      </c>
      <c r="E24" s="26" t="s">
        <v>39</v>
      </c>
      <c r="F24" s="22" t="s">
        <v>40</v>
      </c>
      <c r="G24" s="23">
        <f t="shared" si="0"/>
        <v>5945.7049999999999</v>
      </c>
      <c r="H24" s="23">
        <f>SUM(H25:H27)</f>
        <v>0</v>
      </c>
      <c r="I24" s="23">
        <f>SUM(I25:I27)</f>
        <v>5945.7049999999999</v>
      </c>
      <c r="J24" s="23">
        <f>SUM(J25:J27)</f>
        <v>0</v>
      </c>
      <c r="K24" s="23">
        <f>SUM(K25:K27)</f>
        <v>0</v>
      </c>
      <c r="L24" s="19"/>
      <c r="M24" s="24"/>
      <c r="P24" s="25"/>
    </row>
    <row r="25" spans="3:16" s="17" customFormat="1" ht="12.75" hidden="1">
      <c r="C25" s="18"/>
      <c r="D25" s="28" t="s">
        <v>41</v>
      </c>
      <c r="E25" s="29"/>
      <c r="F25" s="30" t="s">
        <v>40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>
      <c r="C26" s="32" t="s">
        <v>30</v>
      </c>
      <c r="D26" s="33" t="s">
        <v>42</v>
      </c>
      <c r="E26" s="34" t="s">
        <v>43</v>
      </c>
      <c r="F26" s="35">
        <v>431</v>
      </c>
      <c r="G26" s="36">
        <f>SUM(H26:K26)</f>
        <v>5945.7049999999999</v>
      </c>
      <c r="H26" s="37"/>
      <c r="I26" s="37">
        <v>5945.7049999999999</v>
      </c>
      <c r="J26" s="37"/>
      <c r="K26" s="38"/>
      <c r="L26" s="19"/>
      <c r="M26" s="39"/>
      <c r="N26" s="40"/>
      <c r="O26" s="40"/>
    </row>
    <row r="27" spans="3:16" s="17" customFormat="1" ht="15" customHeight="1">
      <c r="C27" s="18"/>
      <c r="D27" s="41"/>
      <c r="E27" s="42" t="s">
        <v>33</v>
      </c>
      <c r="F27" s="43"/>
      <c r="G27" s="43"/>
      <c r="H27" s="43"/>
      <c r="I27" s="43"/>
      <c r="J27" s="43"/>
      <c r="K27" s="44"/>
      <c r="L27" s="19"/>
      <c r="M27" s="24"/>
      <c r="P27" s="25"/>
    </row>
    <row r="28" spans="3:16" s="17" customFormat="1" ht="15" customHeight="1">
      <c r="C28" s="18"/>
      <c r="D28" s="20" t="s">
        <v>44</v>
      </c>
      <c r="E28" s="21" t="s">
        <v>45</v>
      </c>
      <c r="F28" s="22" t="s">
        <v>46</v>
      </c>
      <c r="G28" s="23">
        <f t="shared" si="0"/>
        <v>1606.67</v>
      </c>
      <c r="H28" s="23">
        <f>H30+H31+H32</f>
        <v>0</v>
      </c>
      <c r="I28" s="23">
        <f>I29+I31+I32</f>
        <v>0</v>
      </c>
      <c r="J28" s="23">
        <f>J29+J30+J32</f>
        <v>953.32600000000014</v>
      </c>
      <c r="K28" s="23">
        <f>K29+K30+K31</f>
        <v>653.34400000000005</v>
      </c>
      <c r="L28" s="19"/>
      <c r="M28" s="24"/>
      <c r="P28" s="25"/>
    </row>
    <row r="29" spans="3:16" s="17" customFormat="1" ht="15" customHeight="1">
      <c r="C29" s="18"/>
      <c r="D29" s="20" t="s">
        <v>47</v>
      </c>
      <c r="E29" s="26" t="s">
        <v>17</v>
      </c>
      <c r="F29" s="22" t="s">
        <v>48</v>
      </c>
      <c r="G29" s="23">
        <f t="shared" si="0"/>
        <v>0</v>
      </c>
      <c r="H29" s="46"/>
      <c r="I29" s="27"/>
      <c r="J29" s="27"/>
      <c r="K29" s="27"/>
      <c r="L29" s="19"/>
      <c r="M29" s="24"/>
      <c r="P29" s="25"/>
    </row>
    <row r="30" spans="3:16" s="17" customFormat="1" ht="15" customHeight="1">
      <c r="C30" s="18"/>
      <c r="D30" s="20" t="s">
        <v>49</v>
      </c>
      <c r="E30" s="26" t="s">
        <v>18</v>
      </c>
      <c r="F30" s="22" t="s">
        <v>50</v>
      </c>
      <c r="G30" s="23">
        <f t="shared" si="0"/>
        <v>953.32600000000014</v>
      </c>
      <c r="H30" s="27"/>
      <c r="I30" s="46"/>
      <c r="J30" s="27">
        <f>I15-I34-I48</f>
        <v>953.32600000000014</v>
      </c>
      <c r="K30" s="27"/>
      <c r="L30" s="19"/>
      <c r="M30" s="24"/>
      <c r="P30" s="25"/>
    </row>
    <row r="31" spans="3:16" s="17" customFormat="1" ht="15" customHeight="1">
      <c r="C31" s="18"/>
      <c r="D31" s="20" t="s">
        <v>51</v>
      </c>
      <c r="E31" s="26" t="s">
        <v>19</v>
      </c>
      <c r="F31" s="22" t="s">
        <v>52</v>
      </c>
      <c r="G31" s="23">
        <f t="shared" si="0"/>
        <v>653.34400000000005</v>
      </c>
      <c r="H31" s="27"/>
      <c r="I31" s="27"/>
      <c r="J31" s="46"/>
      <c r="K31" s="27">
        <f>J15+J28-J34-J48</f>
        <v>653.34400000000005</v>
      </c>
      <c r="L31" s="19"/>
      <c r="M31" s="24"/>
      <c r="P31" s="25"/>
    </row>
    <row r="32" spans="3:16" s="17" customFormat="1" ht="15" customHeight="1">
      <c r="C32" s="18"/>
      <c r="D32" s="20" t="s">
        <v>53</v>
      </c>
      <c r="E32" s="26" t="s">
        <v>54</v>
      </c>
      <c r="F32" s="22" t="s">
        <v>55</v>
      </c>
      <c r="G32" s="23">
        <f t="shared" si="0"/>
        <v>0</v>
      </c>
      <c r="H32" s="27"/>
      <c r="I32" s="27"/>
      <c r="J32" s="27"/>
      <c r="K32" s="46"/>
      <c r="L32" s="19"/>
      <c r="M32" s="24"/>
      <c r="P32" s="25"/>
    </row>
    <row r="33" spans="3:16" s="17" customFormat="1" ht="15" customHeight="1">
      <c r="C33" s="18"/>
      <c r="D33" s="20" t="s">
        <v>56</v>
      </c>
      <c r="E33" s="47" t="s">
        <v>57</v>
      </c>
      <c r="F33" s="22" t="s">
        <v>58</v>
      </c>
      <c r="G33" s="23">
        <f t="shared" si="0"/>
        <v>0</v>
      </c>
      <c r="H33" s="27"/>
      <c r="I33" s="27"/>
      <c r="J33" s="27"/>
      <c r="K33" s="27"/>
      <c r="L33" s="19"/>
      <c r="M33" s="24"/>
      <c r="P33" s="25"/>
    </row>
    <row r="34" spans="3:16" s="17" customFormat="1" ht="15" customHeight="1">
      <c r="C34" s="18"/>
      <c r="D34" s="20" t="s">
        <v>59</v>
      </c>
      <c r="E34" s="21" t="s">
        <v>60</v>
      </c>
      <c r="F34" s="48" t="s">
        <v>61</v>
      </c>
      <c r="G34" s="23">
        <f t="shared" si="0"/>
        <v>5779.9560000000001</v>
      </c>
      <c r="H34" s="23">
        <f>H35+H37+H40+H44</f>
        <v>0</v>
      </c>
      <c r="I34" s="23">
        <f>I35+I37+I40+I44</f>
        <v>4938.8649999999998</v>
      </c>
      <c r="J34" s="23">
        <f>J35+J37+J40+J44</f>
        <v>272.20600000000002</v>
      </c>
      <c r="K34" s="23">
        <f>K35+K37+K40+K44</f>
        <v>568.88499999999999</v>
      </c>
      <c r="L34" s="19"/>
      <c r="M34" s="24"/>
      <c r="P34" s="25"/>
    </row>
    <row r="35" spans="3:16" s="17" customFormat="1" ht="22.5">
      <c r="C35" s="18"/>
      <c r="D35" s="20" t="s">
        <v>62</v>
      </c>
      <c r="E35" s="26" t="s">
        <v>63</v>
      </c>
      <c r="F35" s="22" t="s">
        <v>64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65</v>
      </c>
      <c r="E36" s="49" t="s">
        <v>66</v>
      </c>
      <c r="F36" s="22" t="s">
        <v>67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>
      <c r="C37" s="18"/>
      <c r="D37" s="20" t="s">
        <v>68</v>
      </c>
      <c r="E37" s="26" t="s">
        <v>69</v>
      </c>
      <c r="F37" s="22" t="s">
        <v>70</v>
      </c>
      <c r="G37" s="23">
        <f t="shared" si="0"/>
        <v>1633.1760000000002</v>
      </c>
      <c r="H37" s="27"/>
      <c r="I37" s="27">
        <v>792.08500000000004</v>
      </c>
      <c r="J37" s="27">
        <v>272.20600000000002</v>
      </c>
      <c r="K37" s="27">
        <v>568.88499999999999</v>
      </c>
      <c r="L37" s="19"/>
      <c r="M37" s="24"/>
      <c r="P37" s="25"/>
    </row>
    <row r="38" spans="3:16" s="17" customFormat="1" ht="15" customHeight="1">
      <c r="C38" s="18"/>
      <c r="D38" s="20" t="s">
        <v>71</v>
      </c>
      <c r="E38" s="49" t="s">
        <v>72</v>
      </c>
      <c r="F38" s="22" t="s">
        <v>73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74</v>
      </c>
      <c r="E39" s="50" t="s">
        <v>66</v>
      </c>
      <c r="F39" s="22" t="s">
        <v>75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>
      <c r="C40" s="18"/>
      <c r="D40" s="20" t="s">
        <v>76</v>
      </c>
      <c r="E40" s="26" t="s">
        <v>77</v>
      </c>
      <c r="F40" s="22" t="s">
        <v>78</v>
      </c>
      <c r="G40" s="23">
        <f t="shared" si="0"/>
        <v>4146.78</v>
      </c>
      <c r="H40" s="23">
        <f>SUM(H41:H43)</f>
        <v>0</v>
      </c>
      <c r="I40" s="23">
        <f>SUM(I41:I43)</f>
        <v>4146.78</v>
      </c>
      <c r="J40" s="23">
        <f>SUM(J41:J43)</f>
        <v>0</v>
      </c>
      <c r="K40" s="23">
        <f>SUM(K41:K43)</f>
        <v>0</v>
      </c>
      <c r="L40" s="19"/>
      <c r="M40" s="24"/>
      <c r="P40" s="25"/>
    </row>
    <row r="41" spans="3:16" s="17" customFormat="1" ht="12.75" hidden="1">
      <c r="C41" s="18"/>
      <c r="D41" s="28" t="s">
        <v>79</v>
      </c>
      <c r="E41" s="29"/>
      <c r="F41" s="30" t="s">
        <v>78</v>
      </c>
      <c r="G41" s="31"/>
      <c r="H41" s="31"/>
      <c r="I41" s="31"/>
      <c r="J41" s="31"/>
      <c r="K41" s="31"/>
      <c r="L41" s="19"/>
      <c r="M41" s="24"/>
      <c r="P41" s="25"/>
    </row>
    <row r="42" spans="3:16" s="17" customFormat="1" ht="15" customHeight="1">
      <c r="C42" s="32" t="s">
        <v>30</v>
      </c>
      <c r="D42" s="33" t="s">
        <v>80</v>
      </c>
      <c r="E42" s="34" t="s">
        <v>81</v>
      </c>
      <c r="F42" s="35">
        <v>751</v>
      </c>
      <c r="G42" s="36">
        <f>SUM(H42:K42)</f>
        <v>4146.78</v>
      </c>
      <c r="H42" s="37"/>
      <c r="I42" s="37">
        <v>4146.78</v>
      </c>
      <c r="J42" s="37"/>
      <c r="K42" s="38"/>
      <c r="L42" s="19"/>
      <c r="M42" s="39"/>
      <c r="N42" s="40"/>
      <c r="O42" s="40"/>
    </row>
    <row r="43" spans="3:16" s="17" customFormat="1" ht="15" customHeight="1">
      <c r="C43" s="18"/>
      <c r="D43" s="51"/>
      <c r="E43" s="42" t="s">
        <v>33</v>
      </c>
      <c r="F43" s="43"/>
      <c r="G43" s="43"/>
      <c r="H43" s="43"/>
      <c r="I43" s="43"/>
      <c r="J43" s="43"/>
      <c r="K43" s="44"/>
      <c r="L43" s="19"/>
      <c r="M43" s="24"/>
      <c r="P43" s="25"/>
    </row>
    <row r="44" spans="3:16" s="17" customFormat="1" ht="15" customHeight="1">
      <c r="C44" s="18"/>
      <c r="D44" s="20" t="s">
        <v>82</v>
      </c>
      <c r="E44" s="52" t="s">
        <v>83</v>
      </c>
      <c r="F44" s="22" t="s">
        <v>84</v>
      </c>
      <c r="G44" s="23">
        <f t="shared" si="0"/>
        <v>0</v>
      </c>
      <c r="H44" s="27"/>
      <c r="I44" s="27"/>
      <c r="J44" s="27"/>
      <c r="K44" s="27"/>
      <c r="L44" s="19"/>
      <c r="M44" s="24"/>
      <c r="P44" s="25"/>
    </row>
    <row r="45" spans="3:16" s="17" customFormat="1" ht="15" customHeight="1">
      <c r="C45" s="18"/>
      <c r="D45" s="20" t="s">
        <v>85</v>
      </c>
      <c r="E45" s="21" t="s">
        <v>86</v>
      </c>
      <c r="F45" s="22" t="s">
        <v>87</v>
      </c>
      <c r="G45" s="23">
        <f t="shared" si="0"/>
        <v>1606.67</v>
      </c>
      <c r="H45" s="27"/>
      <c r="I45" s="27">
        <f>I15-I34-I48</f>
        <v>953.32600000000014</v>
      </c>
      <c r="J45" s="27">
        <f>J19+J30-J37-J48</f>
        <v>653.34400000000005</v>
      </c>
      <c r="K45" s="27"/>
      <c r="L45" s="19"/>
      <c r="M45" s="24"/>
      <c r="P45" s="25"/>
    </row>
    <row r="46" spans="3:16" s="17" customFormat="1" ht="15" customHeight="1">
      <c r="C46" s="18"/>
      <c r="D46" s="20" t="s">
        <v>88</v>
      </c>
      <c r="E46" s="21" t="s">
        <v>89</v>
      </c>
      <c r="F46" s="22" t="s">
        <v>90</v>
      </c>
      <c r="G46" s="23">
        <f t="shared" si="0"/>
        <v>0</v>
      </c>
      <c r="H46" s="27"/>
      <c r="I46" s="27"/>
      <c r="J46" s="27"/>
      <c r="K46" s="27"/>
      <c r="L46" s="19"/>
      <c r="M46" s="24"/>
      <c r="P46" s="25"/>
    </row>
    <row r="47" spans="3:16" s="17" customFormat="1" ht="15" customHeight="1">
      <c r="C47" s="18"/>
      <c r="D47" s="20" t="s">
        <v>91</v>
      </c>
      <c r="E47" s="21" t="s">
        <v>92</v>
      </c>
      <c r="F47" s="22" t="s">
        <v>93</v>
      </c>
      <c r="G47" s="23">
        <f t="shared" si="0"/>
        <v>0</v>
      </c>
      <c r="H47" s="27"/>
      <c r="I47" s="27"/>
      <c r="J47" s="27"/>
      <c r="K47" s="27"/>
      <c r="L47" s="19"/>
      <c r="M47" s="24"/>
      <c r="P47" s="25"/>
    </row>
    <row r="48" spans="3:16" s="17" customFormat="1" ht="15" customHeight="1">
      <c r="C48" s="18"/>
      <c r="D48" s="20" t="s">
        <v>94</v>
      </c>
      <c r="E48" s="21" t="s">
        <v>95</v>
      </c>
      <c r="F48" s="22" t="s">
        <v>96</v>
      </c>
      <c r="G48" s="23">
        <f t="shared" si="0"/>
        <v>172.28399999999999</v>
      </c>
      <c r="H48" s="27"/>
      <c r="I48" s="27">
        <f>I50</f>
        <v>53.514000000000003</v>
      </c>
      <c r="J48" s="27">
        <f>J50</f>
        <v>34.311</v>
      </c>
      <c r="K48" s="27">
        <f>K50</f>
        <v>84.459000000000003</v>
      </c>
      <c r="L48" s="19"/>
      <c r="M48" s="24"/>
      <c r="P48" s="25"/>
    </row>
    <row r="49" spans="3:16" s="17" customFormat="1" ht="15" customHeight="1">
      <c r="C49" s="18"/>
      <c r="D49" s="20" t="s">
        <v>97</v>
      </c>
      <c r="E49" s="26" t="s">
        <v>98</v>
      </c>
      <c r="F49" s="22" t="s">
        <v>99</v>
      </c>
      <c r="G49" s="23">
        <f t="shared" si="0"/>
        <v>0</v>
      </c>
      <c r="H49" s="27"/>
      <c r="I49" s="27"/>
      <c r="J49" s="27"/>
      <c r="K49" s="27"/>
      <c r="L49" s="19"/>
      <c r="M49" s="24"/>
      <c r="P49" s="25"/>
    </row>
    <row r="50" spans="3:16" s="17" customFormat="1" ht="15" customHeight="1">
      <c r="C50" s="18"/>
      <c r="D50" s="20" t="s">
        <v>100</v>
      </c>
      <c r="E50" s="21" t="s">
        <v>101</v>
      </c>
      <c r="F50" s="22" t="s">
        <v>102</v>
      </c>
      <c r="G50" s="23">
        <f t="shared" si="0"/>
        <v>172.28399999999999</v>
      </c>
      <c r="H50" s="27"/>
      <c r="I50" s="27">
        <v>53.514000000000003</v>
      </c>
      <c r="J50" s="27">
        <v>34.311</v>
      </c>
      <c r="K50" s="27">
        <v>84.459000000000003</v>
      </c>
      <c r="L50" s="19"/>
      <c r="M50" s="24"/>
      <c r="P50" s="45"/>
    </row>
    <row r="51" spans="3:16" s="17" customFormat="1" ht="33.75">
      <c r="C51" s="18"/>
      <c r="D51" s="20" t="s">
        <v>103</v>
      </c>
      <c r="E51" s="47" t="s">
        <v>104</v>
      </c>
      <c r="F51" s="22" t="s">
        <v>105</v>
      </c>
      <c r="G51" s="23">
        <f t="shared" si="0"/>
        <v>0</v>
      </c>
      <c r="H51" s="23">
        <f>H48-H50</f>
        <v>0</v>
      </c>
      <c r="I51" s="23">
        <f>I48-I50</f>
        <v>0</v>
      </c>
      <c r="J51" s="23">
        <f>J48-J50</f>
        <v>0</v>
      </c>
      <c r="K51" s="23">
        <f>K48-K50</f>
        <v>0</v>
      </c>
      <c r="L51" s="19"/>
      <c r="M51" s="24"/>
      <c r="P51" s="45"/>
    </row>
    <row r="52" spans="3:16" s="17" customFormat="1" ht="15" customHeight="1">
      <c r="C52" s="18"/>
      <c r="D52" s="20" t="s">
        <v>106</v>
      </c>
      <c r="E52" s="21" t="s">
        <v>107</v>
      </c>
      <c r="F52" s="22" t="s">
        <v>108</v>
      </c>
      <c r="G52" s="23">
        <f t="shared" si="0"/>
        <v>0</v>
      </c>
      <c r="H52" s="23">
        <f>(H15+H28+H33)-(H34+H45+H46+H47+H48)</f>
        <v>0</v>
      </c>
      <c r="I52" s="23">
        <f>(I15+I28+I33)-(I34+I45+I46+I47+I48)</f>
        <v>0</v>
      </c>
      <c r="J52" s="23">
        <f>(J15+J28+J33)-(J34+J45+J46+J47+J48)</f>
        <v>0</v>
      </c>
      <c r="K52" s="23">
        <f>(K15+K28+K33)-(K34+K45+K46+K47+K48)</f>
        <v>0</v>
      </c>
      <c r="L52" s="19"/>
      <c r="M52" s="24"/>
      <c r="P52" s="25"/>
    </row>
    <row r="53" spans="3:16" s="17" customFormat="1" ht="15" customHeight="1">
      <c r="C53" s="18"/>
      <c r="D53" s="83" t="s">
        <v>109</v>
      </c>
      <c r="E53" s="84"/>
      <c r="F53" s="84"/>
      <c r="G53" s="84"/>
      <c r="H53" s="84"/>
      <c r="I53" s="84"/>
      <c r="J53" s="84"/>
      <c r="K53" s="85"/>
      <c r="L53" s="19"/>
      <c r="M53" s="24"/>
      <c r="P53" s="45"/>
    </row>
    <row r="54" spans="3:16" s="17" customFormat="1" ht="15" customHeight="1">
      <c r="C54" s="18"/>
      <c r="D54" s="20" t="s">
        <v>110</v>
      </c>
      <c r="E54" s="21" t="s">
        <v>23</v>
      </c>
      <c r="F54" s="22" t="s">
        <v>111</v>
      </c>
      <c r="G54" s="23">
        <f t="shared" si="0"/>
        <v>8.000322580645161</v>
      </c>
      <c r="H54" s="23">
        <f>H55+H56+H60+H63</f>
        <v>0</v>
      </c>
      <c r="I54" s="23">
        <f>I55+I56+I60+I63</f>
        <v>7.9915389784946234</v>
      </c>
      <c r="J54" s="23">
        <f>J55+J56+J60+J63</f>
        <v>8.7836021505376342E-3</v>
      </c>
      <c r="K54" s="23">
        <f>K55+K56+K60+K63</f>
        <v>0</v>
      </c>
      <c r="L54" s="19"/>
      <c r="M54" s="24"/>
      <c r="P54" s="25"/>
    </row>
    <row r="55" spans="3:16" s="17" customFormat="1" ht="15" customHeight="1">
      <c r="C55" s="18"/>
      <c r="D55" s="20" t="s">
        <v>112</v>
      </c>
      <c r="E55" s="26" t="s">
        <v>25</v>
      </c>
      <c r="F55" s="22" t="s">
        <v>113</v>
      </c>
      <c r="G55" s="23">
        <f t="shared" si="0"/>
        <v>0</v>
      </c>
      <c r="H55" s="27"/>
      <c r="I55" s="27"/>
      <c r="J55" s="27"/>
      <c r="K55" s="27"/>
      <c r="L55" s="19"/>
      <c r="M55" s="24"/>
      <c r="P55" s="25"/>
    </row>
    <row r="56" spans="3:16" s="17" customFormat="1" ht="15" customHeight="1">
      <c r="C56" s="18"/>
      <c r="D56" s="20" t="s">
        <v>114</v>
      </c>
      <c r="E56" s="26" t="s">
        <v>27</v>
      </c>
      <c r="F56" s="22" t="s">
        <v>115</v>
      </c>
      <c r="G56" s="23">
        <f t="shared" si="0"/>
        <v>8.7836021505376342E-3</v>
      </c>
      <c r="H56" s="23">
        <f>SUM(H57:H59)</f>
        <v>0</v>
      </c>
      <c r="I56" s="23">
        <f>SUM(I57:I59)</f>
        <v>0</v>
      </c>
      <c r="J56" s="23">
        <f>SUM(J57:J59)</f>
        <v>8.7836021505376342E-3</v>
      </c>
      <c r="K56" s="23">
        <f>SUM(K57:K59)</f>
        <v>0</v>
      </c>
      <c r="L56" s="19"/>
      <c r="M56" s="24"/>
      <c r="P56" s="25"/>
    </row>
    <row r="57" spans="3:16" s="17" customFormat="1" ht="12.75" hidden="1">
      <c r="C57" s="18"/>
      <c r="D57" s="28" t="s">
        <v>116</v>
      </c>
      <c r="E57" s="29"/>
      <c r="F57" s="30" t="s">
        <v>115</v>
      </c>
      <c r="G57" s="31"/>
      <c r="H57" s="31"/>
      <c r="I57" s="31"/>
      <c r="J57" s="31"/>
      <c r="K57" s="31"/>
      <c r="L57" s="19"/>
      <c r="M57" s="24"/>
      <c r="P57" s="25"/>
    </row>
    <row r="58" spans="3:16" s="17" customFormat="1" ht="15" customHeight="1">
      <c r="C58" s="32" t="s">
        <v>30</v>
      </c>
      <c r="D58" s="33" t="s">
        <v>117</v>
      </c>
      <c r="E58" s="34" t="s">
        <v>32</v>
      </c>
      <c r="F58" s="35">
        <v>1061</v>
      </c>
      <c r="G58" s="36">
        <f>SUM(H58:K58)</f>
        <v>8.7836021505376342E-3</v>
      </c>
      <c r="H58" s="37"/>
      <c r="I58" s="37"/>
      <c r="J58" s="37">
        <f>J19/744</f>
        <v>8.7836021505376342E-3</v>
      </c>
      <c r="K58" s="38"/>
      <c r="L58" s="19"/>
      <c r="M58" s="39"/>
      <c r="N58" s="40"/>
      <c r="O58" s="40"/>
    </row>
    <row r="59" spans="3:16" s="17" customFormat="1" ht="15" customHeight="1">
      <c r="C59" s="18"/>
      <c r="D59" s="41"/>
      <c r="E59" s="42" t="s">
        <v>33</v>
      </c>
      <c r="F59" s="43"/>
      <c r="G59" s="43"/>
      <c r="H59" s="43"/>
      <c r="I59" s="43"/>
      <c r="J59" s="43"/>
      <c r="K59" s="44"/>
      <c r="L59" s="19"/>
      <c r="M59" s="24"/>
      <c r="P59" s="25"/>
    </row>
    <row r="60" spans="3:16" s="17" customFormat="1" ht="15" customHeight="1">
      <c r="C60" s="18"/>
      <c r="D60" s="20" t="s">
        <v>118</v>
      </c>
      <c r="E60" s="26" t="s">
        <v>35</v>
      </c>
      <c r="F60" s="22" t="s">
        <v>119</v>
      </c>
      <c r="G60" s="23">
        <f t="shared" si="0"/>
        <v>0</v>
      </c>
      <c r="H60" s="23">
        <f>SUM(H61:H62)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19"/>
      <c r="M60" s="24"/>
      <c r="P60" s="25"/>
    </row>
    <row r="61" spans="3:16" s="17" customFormat="1" ht="12.75" hidden="1" customHeight="1">
      <c r="C61" s="18"/>
      <c r="D61" s="28" t="s">
        <v>120</v>
      </c>
      <c r="E61" s="29"/>
      <c r="F61" s="30" t="s">
        <v>119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customHeight="1">
      <c r="C62" s="18"/>
      <c r="D62" s="41"/>
      <c r="E62" s="42" t="s">
        <v>33</v>
      </c>
      <c r="F62" s="43"/>
      <c r="G62" s="43"/>
      <c r="H62" s="43"/>
      <c r="I62" s="43"/>
      <c r="J62" s="43"/>
      <c r="K62" s="44"/>
      <c r="L62" s="19"/>
      <c r="M62" s="24"/>
      <c r="P62" s="25"/>
    </row>
    <row r="63" spans="3:16" s="17" customFormat="1" ht="15" customHeight="1">
      <c r="C63" s="18"/>
      <c r="D63" s="20" t="s">
        <v>121</v>
      </c>
      <c r="E63" s="26" t="s">
        <v>39</v>
      </c>
      <c r="F63" s="22" t="s">
        <v>122</v>
      </c>
      <c r="G63" s="23">
        <f t="shared" si="0"/>
        <v>7.9915389784946234</v>
      </c>
      <c r="H63" s="23">
        <f>SUM(H64:H66)</f>
        <v>0</v>
      </c>
      <c r="I63" s="23">
        <f>SUM(I64:I66)</f>
        <v>7.9915389784946234</v>
      </c>
      <c r="J63" s="23">
        <f>SUM(J64:J66)</f>
        <v>0</v>
      </c>
      <c r="K63" s="23">
        <f>SUM(K64:K66)</f>
        <v>0</v>
      </c>
      <c r="L63" s="19"/>
      <c r="M63" s="24"/>
      <c r="P63" s="25"/>
    </row>
    <row r="64" spans="3:16" s="17" customFormat="1" ht="12.75" hidden="1" customHeight="1">
      <c r="C64" s="18"/>
      <c r="D64" s="28" t="s">
        <v>123</v>
      </c>
      <c r="E64" s="29"/>
      <c r="F64" s="30" t="s">
        <v>122</v>
      </c>
      <c r="G64" s="31"/>
      <c r="H64" s="31"/>
      <c r="I64" s="31"/>
      <c r="J64" s="31"/>
      <c r="K64" s="31"/>
      <c r="L64" s="19"/>
      <c r="M64" s="24"/>
      <c r="P64" s="25"/>
    </row>
    <row r="65" spans="3:16" s="17" customFormat="1" ht="15" customHeight="1">
      <c r="C65" s="32" t="s">
        <v>30</v>
      </c>
      <c r="D65" s="33" t="s">
        <v>124</v>
      </c>
      <c r="E65" s="34" t="s">
        <v>43</v>
      </c>
      <c r="F65" s="35">
        <v>1461</v>
      </c>
      <c r="G65" s="36">
        <f>SUM(H65:K65)</f>
        <v>7.9915389784946234</v>
      </c>
      <c r="H65" s="37"/>
      <c r="I65" s="37">
        <f>I26/744</f>
        <v>7.9915389784946234</v>
      </c>
      <c r="J65" s="37"/>
      <c r="K65" s="38"/>
      <c r="L65" s="19"/>
      <c r="M65" s="39"/>
      <c r="N65" s="40"/>
      <c r="O65" s="40"/>
    </row>
    <row r="66" spans="3:16" s="17" customFormat="1" ht="15" customHeight="1">
      <c r="C66" s="18"/>
      <c r="D66" s="41"/>
      <c r="E66" s="42" t="s">
        <v>33</v>
      </c>
      <c r="F66" s="43"/>
      <c r="G66" s="43"/>
      <c r="H66" s="43"/>
      <c r="I66" s="43"/>
      <c r="J66" s="43"/>
      <c r="K66" s="44"/>
      <c r="L66" s="19"/>
      <c r="M66" s="24"/>
      <c r="P66" s="25"/>
    </row>
    <row r="67" spans="3:16" s="17" customFormat="1" ht="15" customHeight="1">
      <c r="C67" s="18"/>
      <c r="D67" s="20" t="s">
        <v>125</v>
      </c>
      <c r="E67" s="21" t="s">
        <v>45</v>
      </c>
      <c r="F67" s="22" t="s">
        <v>126</v>
      </c>
      <c r="G67" s="23">
        <f t="shared" si="0"/>
        <v>2.1595026881720432</v>
      </c>
      <c r="H67" s="23">
        <f>H69+H70+H71</f>
        <v>0</v>
      </c>
      <c r="I67" s="23">
        <f>I68+I70+I71</f>
        <v>0</v>
      </c>
      <c r="J67" s="23">
        <f>J68+J69+J71</f>
        <v>1.2813521505376346</v>
      </c>
      <c r="K67" s="23">
        <f>K68+K69+K70</f>
        <v>0.87815053763440865</v>
      </c>
      <c r="L67" s="19"/>
      <c r="M67" s="24"/>
      <c r="P67" s="25"/>
    </row>
    <row r="68" spans="3:16" s="17" customFormat="1" ht="15" customHeight="1">
      <c r="C68" s="18"/>
      <c r="D68" s="20" t="s">
        <v>127</v>
      </c>
      <c r="E68" s="26" t="s">
        <v>17</v>
      </c>
      <c r="F68" s="22" t="s">
        <v>128</v>
      </c>
      <c r="G68" s="23">
        <f t="shared" si="0"/>
        <v>0</v>
      </c>
      <c r="H68" s="46"/>
      <c r="I68" s="27"/>
      <c r="J68" s="27"/>
      <c r="K68" s="27"/>
      <c r="L68" s="19"/>
      <c r="M68" s="24"/>
      <c r="P68" s="25"/>
    </row>
    <row r="69" spans="3:16" s="17" customFormat="1" ht="15" customHeight="1">
      <c r="C69" s="18"/>
      <c r="D69" s="20" t="s">
        <v>129</v>
      </c>
      <c r="E69" s="26" t="s">
        <v>18</v>
      </c>
      <c r="F69" s="22" t="s">
        <v>130</v>
      </c>
      <c r="G69" s="23">
        <f t="shared" si="0"/>
        <v>1.2813521505376346</v>
      </c>
      <c r="H69" s="27"/>
      <c r="I69" s="53"/>
      <c r="J69" s="27">
        <f>J30/744</f>
        <v>1.2813521505376346</v>
      </c>
      <c r="K69" s="27"/>
      <c r="L69" s="19"/>
      <c r="M69" s="24"/>
      <c r="P69" s="25"/>
    </row>
    <row r="70" spans="3:16" s="17" customFormat="1" ht="15" customHeight="1">
      <c r="C70" s="18"/>
      <c r="D70" s="20" t="s">
        <v>131</v>
      </c>
      <c r="E70" s="26" t="s">
        <v>19</v>
      </c>
      <c r="F70" s="22" t="s">
        <v>132</v>
      </c>
      <c r="G70" s="23">
        <f t="shared" si="0"/>
        <v>0.87815053763440865</v>
      </c>
      <c r="H70" s="27"/>
      <c r="I70" s="27"/>
      <c r="J70" s="46"/>
      <c r="K70" s="27">
        <f>K31/744</f>
        <v>0.87815053763440865</v>
      </c>
      <c r="L70" s="19"/>
      <c r="M70" s="24"/>
      <c r="P70" s="25"/>
    </row>
    <row r="71" spans="3:16" s="17" customFormat="1" ht="15" customHeight="1">
      <c r="C71" s="18"/>
      <c r="D71" s="20" t="s">
        <v>133</v>
      </c>
      <c r="E71" s="26" t="s">
        <v>54</v>
      </c>
      <c r="F71" s="22" t="s">
        <v>134</v>
      </c>
      <c r="G71" s="23">
        <f t="shared" si="0"/>
        <v>0</v>
      </c>
      <c r="H71" s="27"/>
      <c r="I71" s="27"/>
      <c r="J71" s="27"/>
      <c r="K71" s="46"/>
      <c r="L71" s="19"/>
      <c r="M71" s="24"/>
      <c r="P71" s="25"/>
    </row>
    <row r="72" spans="3:16" s="17" customFormat="1" ht="15" customHeight="1">
      <c r="C72" s="18"/>
      <c r="D72" s="20" t="s">
        <v>135</v>
      </c>
      <c r="E72" s="47" t="s">
        <v>57</v>
      </c>
      <c r="F72" s="22" t="s">
        <v>136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137</v>
      </c>
      <c r="E73" s="21" t="s">
        <v>60</v>
      </c>
      <c r="F73" s="48" t="s">
        <v>138</v>
      </c>
      <c r="G73" s="23">
        <f t="shared" si="0"/>
        <v>7.7687580645161285</v>
      </c>
      <c r="H73" s="23">
        <f>H74+H76+H79+H83</f>
        <v>0</v>
      </c>
      <c r="I73" s="23">
        <f>I74+I76+I79+I83</f>
        <v>6.63825940860215</v>
      </c>
      <c r="J73" s="23">
        <f>J74+J76+J79+J83</f>
        <v>0.36586827956989249</v>
      </c>
      <c r="K73" s="23">
        <f>K74+K76+K79+K83</f>
        <v>0.76463037634408604</v>
      </c>
      <c r="L73" s="19"/>
      <c r="M73" s="24"/>
      <c r="P73" s="25"/>
    </row>
    <row r="74" spans="3:16" s="17" customFormat="1" ht="22.5">
      <c r="C74" s="18"/>
      <c r="D74" s="20" t="s">
        <v>139</v>
      </c>
      <c r="E74" s="26" t="s">
        <v>63</v>
      </c>
      <c r="F74" s="22" t="s">
        <v>140</v>
      </c>
      <c r="G74" s="23">
        <f t="shared" si="0"/>
        <v>0</v>
      </c>
      <c r="H74" s="27"/>
      <c r="I74" s="27"/>
      <c r="J74" s="27"/>
      <c r="K74" s="27"/>
      <c r="L74" s="19"/>
      <c r="M74" s="24"/>
      <c r="P74" s="25"/>
    </row>
    <row r="75" spans="3:16" s="17" customFormat="1" ht="15" customHeight="1">
      <c r="C75" s="18"/>
      <c r="D75" s="20" t="s">
        <v>141</v>
      </c>
      <c r="E75" s="49" t="s">
        <v>66</v>
      </c>
      <c r="F75" s="22" t="s">
        <v>142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143</v>
      </c>
      <c r="E76" s="26" t="s">
        <v>69</v>
      </c>
      <c r="F76" s="22" t="s">
        <v>144</v>
      </c>
      <c r="G76" s="23">
        <f t="shared" si="0"/>
        <v>2.1951290322580643</v>
      </c>
      <c r="H76" s="27"/>
      <c r="I76" s="27">
        <f>I37/744</f>
        <v>1.0646303763440861</v>
      </c>
      <c r="J76" s="27">
        <f>J37/744</f>
        <v>0.36586827956989249</v>
      </c>
      <c r="K76" s="27">
        <f>K37/744</f>
        <v>0.76463037634408604</v>
      </c>
      <c r="L76" s="19"/>
      <c r="M76" s="24"/>
      <c r="P76" s="25"/>
    </row>
    <row r="77" spans="3:16" s="17" customFormat="1" ht="15" customHeight="1">
      <c r="C77" s="18"/>
      <c r="D77" s="20" t="s">
        <v>145</v>
      </c>
      <c r="E77" s="49" t="s">
        <v>72</v>
      </c>
      <c r="F77" s="22" t="s">
        <v>146</v>
      </c>
      <c r="G77" s="23">
        <f t="shared" si="0"/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>
      <c r="C78" s="18"/>
      <c r="D78" s="20" t="s">
        <v>147</v>
      </c>
      <c r="E78" s="50" t="s">
        <v>66</v>
      </c>
      <c r="F78" s="22" t="s">
        <v>148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>
      <c r="C79" s="18"/>
      <c r="D79" s="20" t="s">
        <v>149</v>
      </c>
      <c r="E79" s="26" t="s">
        <v>77</v>
      </c>
      <c r="F79" s="22" t="s">
        <v>150</v>
      </c>
      <c r="G79" s="23">
        <f t="shared" si="0"/>
        <v>5.5736290322580642</v>
      </c>
      <c r="H79" s="23">
        <f>SUM(H80:H82)</f>
        <v>0</v>
      </c>
      <c r="I79" s="23">
        <f>SUM(I80:I82)</f>
        <v>5.5736290322580642</v>
      </c>
      <c r="J79" s="23">
        <f>SUM(J80:J82)</f>
        <v>0</v>
      </c>
      <c r="K79" s="23">
        <f>SUM(K80:K82)</f>
        <v>0</v>
      </c>
      <c r="L79" s="19"/>
      <c r="M79" s="24"/>
      <c r="P79" s="25"/>
    </row>
    <row r="80" spans="3:16" s="17" customFormat="1" ht="12.75" hidden="1" customHeight="1">
      <c r="C80" s="18"/>
      <c r="D80" s="28" t="s">
        <v>151</v>
      </c>
      <c r="E80" s="29"/>
      <c r="F80" s="30" t="s">
        <v>150</v>
      </c>
      <c r="G80" s="31"/>
      <c r="H80" s="31"/>
      <c r="I80" s="31"/>
      <c r="J80" s="31"/>
      <c r="K80" s="31"/>
      <c r="L80" s="19"/>
      <c r="M80" s="24"/>
      <c r="P80" s="25"/>
    </row>
    <row r="81" spans="3:16" s="17" customFormat="1" ht="15" customHeight="1">
      <c r="C81" s="32" t="s">
        <v>30</v>
      </c>
      <c r="D81" s="33" t="s">
        <v>152</v>
      </c>
      <c r="E81" s="34" t="s">
        <v>81</v>
      </c>
      <c r="F81" s="35">
        <v>1781</v>
      </c>
      <c r="G81" s="36">
        <f>SUM(H81:K81)</f>
        <v>5.5736290322580642</v>
      </c>
      <c r="H81" s="37"/>
      <c r="I81" s="37">
        <f>I42/744</f>
        <v>5.5736290322580642</v>
      </c>
      <c r="J81" s="37"/>
      <c r="K81" s="38"/>
      <c r="L81" s="19"/>
      <c r="M81" s="39"/>
      <c r="N81" s="40"/>
      <c r="O81" s="40"/>
    </row>
    <row r="82" spans="3:16" s="17" customFormat="1" ht="15" customHeight="1">
      <c r="C82" s="18"/>
      <c r="D82" s="41"/>
      <c r="E82" s="42" t="s">
        <v>33</v>
      </c>
      <c r="F82" s="43"/>
      <c r="G82" s="43"/>
      <c r="H82" s="43"/>
      <c r="I82" s="43"/>
      <c r="J82" s="43"/>
      <c r="K82" s="44"/>
      <c r="L82" s="19"/>
      <c r="M82" s="24"/>
      <c r="P82" s="25"/>
    </row>
    <row r="83" spans="3:16" s="17" customFormat="1" ht="15" customHeight="1">
      <c r="C83" s="18"/>
      <c r="D83" s="20" t="s">
        <v>153</v>
      </c>
      <c r="E83" s="52" t="s">
        <v>83</v>
      </c>
      <c r="F83" s="22" t="s">
        <v>154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>
      <c r="C84" s="18"/>
      <c r="D84" s="20" t="s">
        <v>155</v>
      </c>
      <c r="E84" s="21" t="s">
        <v>86</v>
      </c>
      <c r="F84" s="22" t="s">
        <v>156</v>
      </c>
      <c r="G84" s="23">
        <f t="shared" si="0"/>
        <v>2.1595026881720432</v>
      </c>
      <c r="H84" s="27"/>
      <c r="I84" s="27">
        <f>I45/744</f>
        <v>1.2813521505376346</v>
      </c>
      <c r="J84" s="27">
        <f>J45/744</f>
        <v>0.87815053763440865</v>
      </c>
      <c r="K84" s="27"/>
      <c r="L84" s="19"/>
      <c r="M84" s="24"/>
      <c r="P84" s="25"/>
    </row>
    <row r="85" spans="3:16" s="17" customFormat="1" ht="15" customHeight="1">
      <c r="C85" s="18"/>
      <c r="D85" s="20" t="s">
        <v>157</v>
      </c>
      <c r="E85" s="21" t="s">
        <v>89</v>
      </c>
      <c r="F85" s="22" t="s">
        <v>158</v>
      </c>
      <c r="G85" s="23">
        <f t="shared" si="0"/>
        <v>0</v>
      </c>
      <c r="H85" s="27"/>
      <c r="I85" s="27"/>
      <c r="J85" s="27"/>
      <c r="K85" s="27"/>
      <c r="L85" s="19"/>
      <c r="M85" s="24"/>
      <c r="P85" s="25"/>
    </row>
    <row r="86" spans="3:16" s="17" customFormat="1" ht="15" customHeight="1">
      <c r="C86" s="18"/>
      <c r="D86" s="20" t="s">
        <v>159</v>
      </c>
      <c r="E86" s="21" t="s">
        <v>92</v>
      </c>
      <c r="F86" s="22" t="s">
        <v>160</v>
      </c>
      <c r="G86" s="23">
        <f t="shared" si="0"/>
        <v>0</v>
      </c>
      <c r="H86" s="27"/>
      <c r="I86" s="27"/>
      <c r="J86" s="27"/>
      <c r="K86" s="27"/>
      <c r="L86" s="19"/>
      <c r="M86" s="24"/>
      <c r="P86" s="25"/>
    </row>
    <row r="87" spans="3:16" s="17" customFormat="1" ht="15" customHeight="1">
      <c r="C87" s="18"/>
      <c r="D87" s="20" t="s">
        <v>161</v>
      </c>
      <c r="E87" s="21" t="s">
        <v>95</v>
      </c>
      <c r="F87" s="22" t="s">
        <v>162</v>
      </c>
      <c r="G87" s="23">
        <f t="shared" si="0"/>
        <v>0.23156451612903228</v>
      </c>
      <c r="H87" s="27"/>
      <c r="I87" s="27">
        <f>I48/744</f>
        <v>7.192741935483872E-2</v>
      </c>
      <c r="J87" s="27">
        <f>J48/744</f>
        <v>4.6116935483870969E-2</v>
      </c>
      <c r="K87" s="27">
        <f>K48/744</f>
        <v>0.11352016129032258</v>
      </c>
      <c r="L87" s="19"/>
      <c r="M87" s="24"/>
      <c r="P87" s="25"/>
    </row>
    <row r="88" spans="3:16" s="17" customFormat="1" ht="15" customHeight="1">
      <c r="C88" s="18"/>
      <c r="D88" s="20" t="s">
        <v>163</v>
      </c>
      <c r="E88" s="26" t="s">
        <v>164</v>
      </c>
      <c r="F88" s="22" t="s">
        <v>165</v>
      </c>
      <c r="G88" s="23">
        <f t="shared" si="0"/>
        <v>0</v>
      </c>
      <c r="H88" s="27"/>
      <c r="I88" s="27"/>
      <c r="J88" s="27"/>
      <c r="K88" s="27"/>
      <c r="L88" s="19"/>
      <c r="M88" s="24"/>
      <c r="P88" s="25"/>
    </row>
    <row r="89" spans="3:16" s="17" customFormat="1" ht="15" customHeight="1">
      <c r="C89" s="18"/>
      <c r="D89" s="20" t="s">
        <v>166</v>
      </c>
      <c r="E89" s="21" t="s">
        <v>101</v>
      </c>
      <c r="F89" s="22" t="s">
        <v>167</v>
      </c>
      <c r="G89" s="23">
        <f t="shared" si="0"/>
        <v>0.23156451612903228</v>
      </c>
      <c r="H89" s="27"/>
      <c r="I89" s="27">
        <f>I50/744</f>
        <v>7.192741935483872E-2</v>
      </c>
      <c r="J89" s="27">
        <f>J50/744</f>
        <v>4.6116935483870969E-2</v>
      </c>
      <c r="K89" s="27">
        <f>K50/744</f>
        <v>0.11352016129032258</v>
      </c>
      <c r="L89" s="19"/>
      <c r="M89" s="24"/>
      <c r="P89" s="25"/>
    </row>
    <row r="90" spans="3:16" s="17" customFormat="1" ht="33.75">
      <c r="C90" s="18"/>
      <c r="D90" s="20" t="s">
        <v>168</v>
      </c>
      <c r="E90" s="47" t="s">
        <v>104</v>
      </c>
      <c r="F90" s="22" t="s">
        <v>169</v>
      </c>
      <c r="G90" s="23">
        <f t="shared" si="0"/>
        <v>0</v>
      </c>
      <c r="H90" s="23">
        <f>H87-H89</f>
        <v>0</v>
      </c>
      <c r="I90" s="23">
        <f>I87-I89</f>
        <v>0</v>
      </c>
      <c r="J90" s="23">
        <f>J87-J89</f>
        <v>0</v>
      </c>
      <c r="K90" s="23">
        <f>K87-K89</f>
        <v>0</v>
      </c>
      <c r="L90" s="19"/>
      <c r="M90" s="24"/>
      <c r="P90" s="25"/>
    </row>
    <row r="91" spans="3:16" s="17" customFormat="1" ht="15" customHeight="1">
      <c r="C91" s="18"/>
      <c r="D91" s="20" t="s">
        <v>170</v>
      </c>
      <c r="E91" s="21" t="s">
        <v>107</v>
      </c>
      <c r="F91" s="22" t="s">
        <v>171</v>
      </c>
      <c r="G91" s="23">
        <f t="shared" si="0"/>
        <v>0</v>
      </c>
      <c r="H91" s="23">
        <f>(H54+H67+H72)-(H73+H84+H85+H86+H87)</f>
        <v>0</v>
      </c>
      <c r="I91" s="23">
        <f>(I54+I67+I72)-(I73+I84+I85+I86+I87)</f>
        <v>0</v>
      </c>
      <c r="J91" s="23">
        <f>(J54+J67+J72)-(J73+J84+J85+J86+J87)</f>
        <v>0</v>
      </c>
      <c r="K91" s="23">
        <f>(K54+K67+K72)-(K73+K84+K85+K86+K87)</f>
        <v>0</v>
      </c>
      <c r="L91" s="19"/>
      <c r="M91" s="24"/>
      <c r="P91" s="25"/>
    </row>
    <row r="92" spans="3:16" s="17" customFormat="1" ht="15" customHeight="1">
      <c r="C92" s="18"/>
      <c r="D92" s="83" t="s">
        <v>172</v>
      </c>
      <c r="E92" s="84"/>
      <c r="F92" s="84"/>
      <c r="G92" s="84"/>
      <c r="H92" s="84"/>
      <c r="I92" s="84"/>
      <c r="J92" s="84"/>
      <c r="K92" s="85"/>
      <c r="L92" s="19"/>
      <c r="M92" s="24"/>
      <c r="P92" s="45"/>
    </row>
    <row r="93" spans="3:16" s="17" customFormat="1" ht="15" customHeight="1">
      <c r="C93" s="18"/>
      <c r="D93" s="20" t="s">
        <v>173</v>
      </c>
      <c r="E93" s="21" t="s">
        <v>174</v>
      </c>
      <c r="F93" s="22" t="s">
        <v>175</v>
      </c>
      <c r="G93" s="23">
        <f t="shared" si="0"/>
        <v>0</v>
      </c>
      <c r="H93" s="27"/>
      <c r="I93" s="27"/>
      <c r="J93" s="27"/>
      <c r="K93" s="27"/>
      <c r="L93" s="19"/>
      <c r="M93" s="24"/>
      <c r="P93" s="25"/>
    </row>
    <row r="94" spans="3:16" s="17" customFormat="1" ht="15" customHeight="1">
      <c r="C94" s="18"/>
      <c r="D94" s="20" t="s">
        <v>176</v>
      </c>
      <c r="E94" s="21" t="s">
        <v>177</v>
      </c>
      <c r="F94" s="22" t="s">
        <v>178</v>
      </c>
      <c r="G94" s="23">
        <f t="shared" si="0"/>
        <v>10.55</v>
      </c>
      <c r="H94" s="27"/>
      <c r="I94" s="27">
        <v>10.55</v>
      </c>
      <c r="J94" s="27"/>
      <c r="K94" s="27"/>
      <c r="L94" s="19"/>
      <c r="M94" s="24"/>
      <c r="P94" s="25"/>
    </row>
    <row r="95" spans="3:16" s="17" customFormat="1" ht="15" customHeight="1">
      <c r="C95" s="18"/>
      <c r="D95" s="20" t="s">
        <v>179</v>
      </c>
      <c r="E95" s="21" t="s">
        <v>180</v>
      </c>
      <c r="F95" s="22" t="s">
        <v>181</v>
      </c>
      <c r="G95" s="23">
        <f t="shared" si="0"/>
        <v>0</v>
      </c>
      <c r="H95" s="27"/>
      <c r="I95" s="27"/>
      <c r="J95" s="27"/>
      <c r="K95" s="27"/>
      <c r="L95" s="19"/>
      <c r="M95" s="24"/>
      <c r="P95" s="25"/>
    </row>
    <row r="96" spans="3:16" s="17" customFormat="1" ht="15" customHeight="1">
      <c r="C96" s="18"/>
      <c r="D96" s="83" t="s">
        <v>182</v>
      </c>
      <c r="E96" s="84"/>
      <c r="F96" s="84"/>
      <c r="G96" s="84"/>
      <c r="H96" s="84"/>
      <c r="I96" s="84"/>
      <c r="J96" s="84"/>
      <c r="K96" s="85"/>
      <c r="L96" s="19"/>
      <c r="M96" s="24"/>
      <c r="P96" s="45"/>
    </row>
    <row r="97" spans="3:16" s="17" customFormat="1" ht="15" customHeight="1">
      <c r="C97" s="18"/>
      <c r="D97" s="20" t="s">
        <v>183</v>
      </c>
      <c r="E97" s="21" t="s">
        <v>184</v>
      </c>
      <c r="F97" s="22" t="s">
        <v>185</v>
      </c>
      <c r="G97" s="23">
        <f t="shared" si="0"/>
        <v>0</v>
      </c>
      <c r="H97" s="23">
        <f>SUM(H98:H99)</f>
        <v>0</v>
      </c>
      <c r="I97" s="23">
        <f>SUM(I98:I99)</f>
        <v>0</v>
      </c>
      <c r="J97" s="23">
        <f>SUM(J98:J99)</f>
        <v>0</v>
      </c>
      <c r="K97" s="23">
        <f>SUM(K98:K99)</f>
        <v>0</v>
      </c>
      <c r="L97" s="19"/>
      <c r="M97" s="24"/>
      <c r="P97" s="25"/>
    </row>
    <row r="98" spans="3:16" ht="15" customHeight="1">
      <c r="C98" s="6"/>
      <c r="D98" s="54" t="s">
        <v>186</v>
      </c>
      <c r="E98" s="26" t="s">
        <v>187</v>
      </c>
      <c r="F98" s="22" t="s">
        <v>188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/>
    </row>
    <row r="99" spans="3:16" ht="15" customHeight="1">
      <c r="C99" s="6"/>
      <c r="D99" s="54" t="s">
        <v>189</v>
      </c>
      <c r="E99" s="26" t="s">
        <v>190</v>
      </c>
      <c r="F99" s="22" t="s">
        <v>191</v>
      </c>
      <c r="G99" s="23">
        <f t="shared" si="0"/>
        <v>0</v>
      </c>
      <c r="H99" s="56">
        <f>H102</f>
        <v>0</v>
      </c>
      <c r="I99" s="56">
        <f>I102</f>
        <v>0</v>
      </c>
      <c r="J99" s="56">
        <f>J102</f>
        <v>0</v>
      </c>
      <c r="K99" s="56">
        <f>K102</f>
        <v>0</v>
      </c>
      <c r="L99" s="13"/>
      <c r="M99" s="24"/>
      <c r="P99" s="25"/>
    </row>
    <row r="100" spans="3:16" ht="15" customHeight="1">
      <c r="C100" s="6"/>
      <c r="D100" s="54" t="s">
        <v>192</v>
      </c>
      <c r="E100" s="49" t="s">
        <v>193</v>
      </c>
      <c r="F100" s="22" t="s">
        <v>194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/>
    </row>
    <row r="101" spans="3:16" ht="15" customHeight="1">
      <c r="C101" s="6"/>
      <c r="D101" s="54" t="s">
        <v>195</v>
      </c>
      <c r="E101" s="50" t="s">
        <v>196</v>
      </c>
      <c r="F101" s="22" t="s">
        <v>197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5" customHeight="1">
      <c r="C102" s="6"/>
      <c r="D102" s="54" t="s">
        <v>198</v>
      </c>
      <c r="E102" s="49" t="s">
        <v>199</v>
      </c>
      <c r="F102" s="22" t="s">
        <v>200</v>
      </c>
      <c r="G102" s="23">
        <f t="shared" si="0"/>
        <v>0</v>
      </c>
      <c r="H102" s="55"/>
      <c r="I102" s="55"/>
      <c r="J102" s="55"/>
      <c r="K102" s="55"/>
      <c r="L102" s="13"/>
      <c r="M102" s="24"/>
      <c r="P102" s="25"/>
    </row>
    <row r="103" spans="3:16" ht="15" customHeight="1">
      <c r="C103" s="6"/>
      <c r="D103" s="54" t="s">
        <v>201</v>
      </c>
      <c r="E103" s="21" t="s">
        <v>202</v>
      </c>
      <c r="F103" s="22" t="s">
        <v>203</v>
      </c>
      <c r="G103" s="23">
        <f t="shared" si="0"/>
        <v>0</v>
      </c>
      <c r="H103" s="56">
        <f>H104+H120</f>
        <v>0</v>
      </c>
      <c r="I103" s="56">
        <f>I104+I120</f>
        <v>0</v>
      </c>
      <c r="J103" s="56">
        <f>J104+J120</f>
        <v>0</v>
      </c>
      <c r="K103" s="56">
        <f>K104+K120</f>
        <v>0</v>
      </c>
      <c r="L103" s="13"/>
      <c r="M103" s="24"/>
      <c r="P103" s="25"/>
    </row>
    <row r="104" spans="3:16" ht="15" customHeight="1">
      <c r="C104" s="6"/>
      <c r="D104" s="54" t="s">
        <v>204</v>
      </c>
      <c r="E104" s="26" t="s">
        <v>205</v>
      </c>
      <c r="F104" s="22" t="s">
        <v>206</v>
      </c>
      <c r="G104" s="23">
        <f t="shared" si="0"/>
        <v>0</v>
      </c>
      <c r="H104" s="56">
        <f>H105+H106</f>
        <v>0</v>
      </c>
      <c r="I104" s="56">
        <f>I105+I106</f>
        <v>0</v>
      </c>
      <c r="J104" s="56">
        <f>J105+J106</f>
        <v>0</v>
      </c>
      <c r="K104" s="56">
        <f>K105+K106</f>
        <v>0</v>
      </c>
      <c r="L104" s="13"/>
      <c r="M104" s="24"/>
      <c r="P104" s="25"/>
    </row>
    <row r="105" spans="3:16" ht="15" customHeight="1">
      <c r="C105" s="6"/>
      <c r="D105" s="54" t="s">
        <v>207</v>
      </c>
      <c r="E105" s="49" t="s">
        <v>208</v>
      </c>
      <c r="F105" s="22" t="s">
        <v>209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15" customHeight="1">
      <c r="C106" s="6"/>
      <c r="D106" s="54" t="s">
        <v>210</v>
      </c>
      <c r="E106" s="49" t="s">
        <v>211</v>
      </c>
      <c r="F106" s="22" t="s">
        <v>212</v>
      </c>
      <c r="G106" s="23">
        <f t="shared" si="0"/>
        <v>0</v>
      </c>
      <c r="H106" s="56">
        <f>H107+H110+H113+H116+H117+H118+H119</f>
        <v>0</v>
      </c>
      <c r="I106" s="56">
        <f>I107+I110+I113+I116+I117+I118+I119</f>
        <v>0</v>
      </c>
      <c r="J106" s="56">
        <f>J107+J110+J113+J116+J117+J118+J119</f>
        <v>0</v>
      </c>
      <c r="K106" s="56">
        <f>K107+K110+K113+K116+K117+K118+K119</f>
        <v>0</v>
      </c>
      <c r="L106" s="13"/>
      <c r="M106" s="24"/>
      <c r="P106" s="25"/>
    </row>
    <row r="107" spans="3:16" ht="45">
      <c r="C107" s="6"/>
      <c r="D107" s="54" t="s">
        <v>213</v>
      </c>
      <c r="E107" s="50" t="s">
        <v>214</v>
      </c>
      <c r="F107" s="22" t="s">
        <v>215</v>
      </c>
      <c r="G107" s="23">
        <f t="shared" si="0"/>
        <v>0</v>
      </c>
      <c r="H107" s="57">
        <f>H108+H109</f>
        <v>0</v>
      </c>
      <c r="I107" s="57">
        <f>I108+I109</f>
        <v>0</v>
      </c>
      <c r="J107" s="57">
        <f>J108+J109</f>
        <v>0</v>
      </c>
      <c r="K107" s="57">
        <f>K108+K109</f>
        <v>0</v>
      </c>
      <c r="L107" s="13"/>
      <c r="M107" s="24"/>
      <c r="P107" s="25"/>
    </row>
    <row r="108" spans="3:16" ht="15" customHeight="1">
      <c r="C108" s="6"/>
      <c r="D108" s="54" t="s">
        <v>216</v>
      </c>
      <c r="E108" s="58" t="s">
        <v>217</v>
      </c>
      <c r="F108" s="22" t="s">
        <v>218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15" customHeight="1">
      <c r="C109" s="6"/>
      <c r="D109" s="54" t="s">
        <v>219</v>
      </c>
      <c r="E109" s="58" t="s">
        <v>220</v>
      </c>
      <c r="F109" s="22" t="s">
        <v>221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45">
      <c r="C110" s="6"/>
      <c r="D110" s="54" t="s">
        <v>222</v>
      </c>
      <c r="E110" s="50" t="s">
        <v>223</v>
      </c>
      <c r="F110" s="22" t="s">
        <v>224</v>
      </c>
      <c r="G110" s="23">
        <f t="shared" si="0"/>
        <v>0</v>
      </c>
      <c r="H110" s="57">
        <f>H111+H112</f>
        <v>0</v>
      </c>
      <c r="I110" s="57">
        <f>I111+I112</f>
        <v>0</v>
      </c>
      <c r="J110" s="57">
        <f>J111+J112</f>
        <v>0</v>
      </c>
      <c r="K110" s="57">
        <f>K111+K112</f>
        <v>0</v>
      </c>
      <c r="L110" s="13"/>
      <c r="M110" s="24"/>
      <c r="P110" s="25"/>
    </row>
    <row r="111" spans="3:16" ht="15" customHeight="1">
      <c r="C111" s="6"/>
      <c r="D111" s="54" t="s">
        <v>225</v>
      </c>
      <c r="E111" s="58" t="s">
        <v>217</v>
      </c>
      <c r="F111" s="22" t="s">
        <v>226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>
      <c r="C112" s="6"/>
      <c r="D112" s="54" t="s">
        <v>227</v>
      </c>
      <c r="E112" s="58" t="s">
        <v>220</v>
      </c>
      <c r="F112" s="22" t="s">
        <v>228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229</v>
      </c>
      <c r="E113" s="50" t="s">
        <v>230</v>
      </c>
      <c r="F113" s="22" t="s">
        <v>231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>
      <c r="C114" s="6"/>
      <c r="D114" s="54" t="s">
        <v>232</v>
      </c>
      <c r="E114" s="58" t="s">
        <v>217</v>
      </c>
      <c r="F114" s="22" t="s">
        <v>233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234</v>
      </c>
      <c r="E115" s="58" t="s">
        <v>220</v>
      </c>
      <c r="F115" s="22" t="s">
        <v>235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5" customHeight="1">
      <c r="C116" s="6"/>
      <c r="D116" s="54" t="s">
        <v>236</v>
      </c>
      <c r="E116" s="50" t="s">
        <v>237</v>
      </c>
      <c r="F116" s="22" t="s">
        <v>238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5" customHeight="1">
      <c r="C117" s="6"/>
      <c r="D117" s="54" t="s">
        <v>239</v>
      </c>
      <c r="E117" s="50" t="s">
        <v>240</v>
      </c>
      <c r="F117" s="22" t="s">
        <v>241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9.5" customHeight="1">
      <c r="C118" s="6"/>
      <c r="D118" s="54" t="s">
        <v>242</v>
      </c>
      <c r="E118" s="50" t="s">
        <v>243</v>
      </c>
      <c r="F118" s="22" t="s">
        <v>244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3.5" customHeight="1">
      <c r="C119" s="6"/>
      <c r="D119" s="54" t="s">
        <v>245</v>
      </c>
      <c r="E119" s="50" t="s">
        <v>246</v>
      </c>
      <c r="F119" s="22" t="s">
        <v>247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248</v>
      </c>
      <c r="E120" s="26" t="s">
        <v>249</v>
      </c>
      <c r="F120" s="22" t="s">
        <v>250</v>
      </c>
      <c r="G120" s="23">
        <f t="shared" si="0"/>
        <v>0</v>
      </c>
      <c r="H120" s="56">
        <f>H123</f>
        <v>0</v>
      </c>
      <c r="I120" s="56">
        <f>I123</f>
        <v>0</v>
      </c>
      <c r="J120" s="56">
        <f>J123</f>
        <v>0</v>
      </c>
      <c r="K120" s="56">
        <f>K123</f>
        <v>0</v>
      </c>
      <c r="L120" s="13"/>
      <c r="M120" s="24"/>
      <c r="P120" s="25"/>
    </row>
    <row r="121" spans="3:16" ht="15" customHeight="1">
      <c r="C121" s="6"/>
      <c r="D121" s="54" t="s">
        <v>251</v>
      </c>
      <c r="E121" s="49" t="s">
        <v>193</v>
      </c>
      <c r="F121" s="22" t="s">
        <v>252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5" customHeight="1">
      <c r="C122" s="6"/>
      <c r="D122" s="54" t="s">
        <v>253</v>
      </c>
      <c r="E122" s="50" t="s">
        <v>254</v>
      </c>
      <c r="F122" s="22" t="s">
        <v>255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>
      <c r="C123" s="6"/>
      <c r="D123" s="54" t="s">
        <v>256</v>
      </c>
      <c r="E123" s="49" t="s">
        <v>199</v>
      </c>
      <c r="F123" s="22" t="s">
        <v>257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27" customHeight="1">
      <c r="C124" s="6"/>
      <c r="D124" s="54" t="s">
        <v>258</v>
      </c>
      <c r="E124" s="47" t="s">
        <v>259</v>
      </c>
      <c r="F124" s="22" t="s">
        <v>260</v>
      </c>
      <c r="G124" s="23">
        <f t="shared" si="0"/>
        <v>5779.9560000000001</v>
      </c>
      <c r="H124" s="56">
        <f>SUM(H125:H126)</f>
        <v>0</v>
      </c>
      <c r="I124" s="56">
        <f>SUM(I125:I126)</f>
        <v>4938.8649999999998</v>
      </c>
      <c r="J124" s="56">
        <f>SUM(J125:J126)</f>
        <v>272.20600000000002</v>
      </c>
      <c r="K124" s="56">
        <f>SUM(K125:K126)</f>
        <v>568.88499999999999</v>
      </c>
      <c r="L124" s="13"/>
      <c r="M124" s="24"/>
      <c r="P124" s="25"/>
    </row>
    <row r="125" spans="3:16" ht="15" customHeight="1">
      <c r="C125" s="6"/>
      <c r="D125" s="54" t="s">
        <v>261</v>
      </c>
      <c r="E125" s="26" t="s">
        <v>187</v>
      </c>
      <c r="F125" s="22" t="s">
        <v>262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>
      <c r="C126" s="6"/>
      <c r="D126" s="54" t="s">
        <v>263</v>
      </c>
      <c r="E126" s="26" t="s">
        <v>190</v>
      </c>
      <c r="F126" s="22" t="s">
        <v>264</v>
      </c>
      <c r="G126" s="23">
        <f t="shared" si="0"/>
        <v>5779.9560000000001</v>
      </c>
      <c r="H126" s="56">
        <f>H128</f>
        <v>0</v>
      </c>
      <c r="I126" s="56">
        <f>I128</f>
        <v>4938.8649999999998</v>
      </c>
      <c r="J126" s="56">
        <f>J128</f>
        <v>272.20600000000002</v>
      </c>
      <c r="K126" s="56">
        <f>K128</f>
        <v>568.88499999999999</v>
      </c>
      <c r="L126" s="13"/>
      <c r="M126" s="24"/>
      <c r="P126" s="25"/>
    </row>
    <row r="127" spans="3:16" ht="15" customHeight="1">
      <c r="C127" s="6"/>
      <c r="D127" s="54" t="s">
        <v>265</v>
      </c>
      <c r="E127" s="49" t="s">
        <v>266</v>
      </c>
      <c r="F127" s="22" t="s">
        <v>267</v>
      </c>
      <c r="G127" s="23">
        <f t="shared" si="0"/>
        <v>10.55</v>
      </c>
      <c r="H127" s="55"/>
      <c r="I127" s="55">
        <v>10.55</v>
      </c>
      <c r="J127" s="55"/>
      <c r="K127" s="55"/>
      <c r="L127" s="13"/>
      <c r="M127" s="24"/>
      <c r="P127" s="25"/>
    </row>
    <row r="128" spans="3:16" ht="15" customHeight="1">
      <c r="C128" s="6"/>
      <c r="D128" s="54" t="s">
        <v>268</v>
      </c>
      <c r="E128" s="49" t="s">
        <v>199</v>
      </c>
      <c r="F128" s="22" t="s">
        <v>269</v>
      </c>
      <c r="G128" s="23">
        <f t="shared" si="0"/>
        <v>5779.9560000000001</v>
      </c>
      <c r="H128" s="55"/>
      <c r="I128" s="55">
        <f>I34</f>
        <v>4938.8649999999998</v>
      </c>
      <c r="J128" s="55">
        <f>J34</f>
        <v>272.20600000000002</v>
      </c>
      <c r="K128" s="55">
        <f>K34</f>
        <v>568.88499999999999</v>
      </c>
      <c r="L128" s="13"/>
      <c r="M128" s="24"/>
      <c r="P128" s="25"/>
    </row>
    <row r="129" spans="3:16" ht="15" customHeight="1">
      <c r="C129" s="6"/>
      <c r="D129" s="83" t="s">
        <v>270</v>
      </c>
      <c r="E129" s="84"/>
      <c r="F129" s="84"/>
      <c r="G129" s="84"/>
      <c r="H129" s="84"/>
      <c r="I129" s="84"/>
      <c r="J129" s="84"/>
      <c r="K129" s="85"/>
      <c r="L129" s="13"/>
      <c r="M129" s="24"/>
      <c r="P129" s="59"/>
    </row>
    <row r="130" spans="3:16" ht="22.5">
      <c r="C130" s="6"/>
      <c r="D130" s="54" t="s">
        <v>271</v>
      </c>
      <c r="E130" s="21" t="s">
        <v>272</v>
      </c>
      <c r="F130" s="22" t="s">
        <v>273</v>
      </c>
      <c r="G130" s="23">
        <f t="shared" si="0"/>
        <v>0</v>
      </c>
      <c r="H130" s="56">
        <f>SUM( H131:H132)</f>
        <v>0</v>
      </c>
      <c r="I130" s="56">
        <f>SUM( I131:I132)</f>
        <v>0</v>
      </c>
      <c r="J130" s="56">
        <f>SUM( J131:J132)</f>
        <v>0</v>
      </c>
      <c r="K130" s="56">
        <f>SUM( K131:K132)</f>
        <v>0</v>
      </c>
      <c r="L130" s="13"/>
      <c r="M130" s="24"/>
      <c r="P130" s="25"/>
    </row>
    <row r="131" spans="3:16" ht="15" customHeight="1">
      <c r="C131" s="6"/>
      <c r="D131" s="54" t="s">
        <v>274</v>
      </c>
      <c r="E131" s="26" t="s">
        <v>187</v>
      </c>
      <c r="F131" s="22" t="s">
        <v>275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>
      <c r="C132" s="6"/>
      <c r="D132" s="54" t="s">
        <v>276</v>
      </c>
      <c r="E132" s="26" t="s">
        <v>190</v>
      </c>
      <c r="F132" s="22" t="s">
        <v>277</v>
      </c>
      <c r="G132" s="23">
        <f t="shared" si="0"/>
        <v>0</v>
      </c>
      <c r="H132" s="56">
        <f>H133+H135</f>
        <v>0</v>
      </c>
      <c r="I132" s="56">
        <f>I133+I135</f>
        <v>0</v>
      </c>
      <c r="J132" s="56">
        <f>J133+J135</f>
        <v>0</v>
      </c>
      <c r="K132" s="56">
        <f>K133+K135</f>
        <v>0</v>
      </c>
      <c r="L132" s="13"/>
      <c r="M132" s="24"/>
      <c r="P132" s="25"/>
    </row>
    <row r="133" spans="3:16" ht="15" customHeight="1">
      <c r="C133" s="6"/>
      <c r="D133" s="54" t="s">
        <v>278</v>
      </c>
      <c r="E133" s="49" t="s">
        <v>279</v>
      </c>
      <c r="F133" s="22" t="s">
        <v>280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>
      <c r="C134" s="6"/>
      <c r="D134" s="54" t="s">
        <v>281</v>
      </c>
      <c r="E134" s="50" t="s">
        <v>282</v>
      </c>
      <c r="F134" s="22" t="s">
        <v>283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59"/>
    </row>
    <row r="135" spans="3:16" ht="15" customHeight="1">
      <c r="C135" s="6"/>
      <c r="D135" s="54" t="s">
        <v>284</v>
      </c>
      <c r="E135" s="49" t="s">
        <v>285</v>
      </c>
      <c r="F135" s="22" t="s">
        <v>286</v>
      </c>
      <c r="G135" s="23">
        <f t="shared" si="0"/>
        <v>0</v>
      </c>
      <c r="H135" s="55"/>
      <c r="I135" s="55"/>
      <c r="J135" s="55"/>
      <c r="K135" s="55"/>
      <c r="L135" s="13"/>
      <c r="M135" s="65"/>
      <c r="P135" s="25"/>
    </row>
    <row r="136" spans="3:16" ht="15" customHeight="1">
      <c r="C136" s="6"/>
      <c r="D136" s="54" t="s">
        <v>29</v>
      </c>
      <c r="E136" s="21" t="s">
        <v>287</v>
      </c>
      <c r="F136" s="22" t="s">
        <v>288</v>
      </c>
      <c r="G136" s="23">
        <f t="shared" si="0"/>
        <v>0</v>
      </c>
      <c r="H136" s="57">
        <f>SUM( H137+H142)</f>
        <v>0</v>
      </c>
      <c r="I136" s="57">
        <f>SUM( I137+I142)</f>
        <v>0</v>
      </c>
      <c r="J136" s="57">
        <f>SUM( J137+J142)</f>
        <v>0</v>
      </c>
      <c r="K136" s="57">
        <f>SUM( K137+K142)</f>
        <v>0</v>
      </c>
      <c r="L136" s="60"/>
      <c r="M136" s="24"/>
      <c r="P136" s="25"/>
    </row>
    <row r="137" spans="3:16" ht="15" customHeight="1">
      <c r="C137" s="6"/>
      <c r="D137" s="54" t="s">
        <v>289</v>
      </c>
      <c r="E137" s="26" t="s">
        <v>187</v>
      </c>
      <c r="F137" s="22" t="s">
        <v>290</v>
      </c>
      <c r="G137" s="23">
        <f t="shared" ref="G137:G150" si="1">SUM(H137:K137)</f>
        <v>0</v>
      </c>
      <c r="H137" s="57">
        <f>SUM( H138:H139)</f>
        <v>0</v>
      </c>
      <c r="I137" s="57">
        <f>SUM( I138:I139)</f>
        <v>0</v>
      </c>
      <c r="J137" s="57">
        <f>SUM( J138:J139)</f>
        <v>0</v>
      </c>
      <c r="K137" s="57">
        <f>SUM( K138:K139)</f>
        <v>0</v>
      </c>
      <c r="L137" s="60"/>
      <c r="M137" s="24"/>
      <c r="P137" s="25"/>
    </row>
    <row r="138" spans="3:16" ht="15" customHeight="1">
      <c r="C138" s="6"/>
      <c r="D138" s="54" t="s">
        <v>291</v>
      </c>
      <c r="E138" s="49" t="s">
        <v>208</v>
      </c>
      <c r="F138" s="22" t="s">
        <v>292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293</v>
      </c>
      <c r="E139" s="49" t="s">
        <v>211</v>
      </c>
      <c r="F139" s="22" t="s">
        <v>294</v>
      </c>
      <c r="G139" s="23">
        <f t="shared" si="1"/>
        <v>0</v>
      </c>
      <c r="H139" s="57">
        <f>H140+H141</f>
        <v>0</v>
      </c>
      <c r="I139" s="57">
        <f>I140+I141</f>
        <v>0</v>
      </c>
      <c r="J139" s="57">
        <f>J140+J141</f>
        <v>0</v>
      </c>
      <c r="K139" s="57">
        <f>K140+K141</f>
        <v>0</v>
      </c>
      <c r="L139" s="60"/>
      <c r="M139" s="24"/>
      <c r="P139" s="25"/>
    </row>
    <row r="140" spans="3:16" ht="15" customHeight="1">
      <c r="C140" s="6"/>
      <c r="D140" s="54" t="s">
        <v>295</v>
      </c>
      <c r="E140" s="50" t="s">
        <v>217</v>
      </c>
      <c r="F140" s="22" t="s">
        <v>296</v>
      </c>
      <c r="G140" s="23">
        <f t="shared" si="1"/>
        <v>0</v>
      </c>
      <c r="H140" s="61"/>
      <c r="I140" s="61"/>
      <c r="J140" s="61"/>
      <c r="K140" s="61"/>
      <c r="L140" s="60"/>
      <c r="M140" s="24"/>
      <c r="P140" s="25"/>
    </row>
    <row r="141" spans="3:16" ht="15" customHeight="1">
      <c r="C141" s="6"/>
      <c r="D141" s="54" t="s">
        <v>297</v>
      </c>
      <c r="E141" s="50" t="s">
        <v>298</v>
      </c>
      <c r="F141" s="22" t="s">
        <v>299</v>
      </c>
      <c r="G141" s="23">
        <f t="shared" si="1"/>
        <v>0</v>
      </c>
      <c r="H141" s="61"/>
      <c r="I141" s="61"/>
      <c r="J141" s="61"/>
      <c r="K141" s="61"/>
      <c r="L141" s="60"/>
      <c r="M141" s="24"/>
      <c r="P141" s="25"/>
    </row>
    <row r="142" spans="3:16" ht="15" customHeight="1">
      <c r="C142" s="6"/>
      <c r="D142" s="54" t="s">
        <v>300</v>
      </c>
      <c r="E142" s="26" t="s">
        <v>249</v>
      </c>
      <c r="F142" s="22" t="s">
        <v>301</v>
      </c>
      <c r="G142" s="23">
        <f t="shared" si="1"/>
        <v>0</v>
      </c>
      <c r="H142" s="57">
        <f>H143+H145</f>
        <v>0</v>
      </c>
      <c r="I142" s="57">
        <f>I143+I145</f>
        <v>0</v>
      </c>
      <c r="J142" s="57">
        <f>J143+J145</f>
        <v>0</v>
      </c>
      <c r="K142" s="57">
        <f>K143+K145</f>
        <v>0</v>
      </c>
      <c r="L142" s="60"/>
      <c r="M142" s="24"/>
      <c r="P142" s="25"/>
    </row>
    <row r="143" spans="3:16" ht="15" customHeight="1">
      <c r="C143" s="6"/>
      <c r="D143" s="54" t="s">
        <v>302</v>
      </c>
      <c r="E143" s="49" t="s">
        <v>279</v>
      </c>
      <c r="F143" s="22" t="s">
        <v>303</v>
      </c>
      <c r="G143" s="23">
        <f t="shared" si="1"/>
        <v>0</v>
      </c>
      <c r="H143" s="55"/>
      <c r="I143" s="55"/>
      <c r="J143" s="55"/>
      <c r="K143" s="55"/>
      <c r="L143" s="60"/>
      <c r="M143" s="24"/>
      <c r="P143" s="25"/>
    </row>
    <row r="144" spans="3:16" ht="15" customHeight="1">
      <c r="C144" s="6"/>
      <c r="D144" s="54" t="s">
        <v>304</v>
      </c>
      <c r="E144" s="50" t="s">
        <v>282</v>
      </c>
      <c r="F144" s="22" t="s">
        <v>305</v>
      </c>
      <c r="G144" s="23">
        <f t="shared" si="1"/>
        <v>0</v>
      </c>
      <c r="H144" s="55"/>
      <c r="I144" s="55"/>
      <c r="J144" s="55"/>
      <c r="K144" s="55"/>
      <c r="L144" s="60"/>
      <c r="M144" s="24"/>
      <c r="P144" s="25"/>
    </row>
    <row r="145" spans="3:19" ht="15" customHeight="1">
      <c r="C145" s="6"/>
      <c r="D145" s="54" t="s">
        <v>306</v>
      </c>
      <c r="E145" s="49" t="s">
        <v>285</v>
      </c>
      <c r="F145" s="22" t="s">
        <v>307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/>
    </row>
    <row r="146" spans="3:19" ht="28.5" customHeight="1">
      <c r="C146" s="6"/>
      <c r="D146" s="54" t="s">
        <v>308</v>
      </c>
      <c r="E146" s="21" t="s">
        <v>309</v>
      </c>
      <c r="F146" s="22" t="s">
        <v>310</v>
      </c>
      <c r="G146" s="23">
        <f t="shared" si="1"/>
        <v>2800.8925301000004</v>
      </c>
      <c r="H146" s="63">
        <f>SUM( H147:H148)</f>
        <v>0</v>
      </c>
      <c r="I146" s="63">
        <f>SUM( I147:I148)</f>
        <v>2799.8146472000003</v>
      </c>
      <c r="J146" s="63">
        <f>SUM( J147:J148)</f>
        <v>1.0778829000000001</v>
      </c>
      <c r="K146" s="63">
        <f>SUM( K147:K148)</f>
        <v>0</v>
      </c>
      <c r="L146" s="60"/>
      <c r="M146" s="24"/>
      <c r="P146" s="25"/>
    </row>
    <row r="147" spans="3:19" ht="15" customHeight="1">
      <c r="C147" s="6"/>
      <c r="D147" s="54" t="s">
        <v>311</v>
      </c>
      <c r="E147" s="26" t="s">
        <v>187</v>
      </c>
      <c r="F147" s="22" t="s">
        <v>312</v>
      </c>
      <c r="G147" s="23">
        <f t="shared" si="1"/>
        <v>0</v>
      </c>
      <c r="H147" s="62"/>
      <c r="I147" s="62"/>
      <c r="J147" s="62"/>
      <c r="K147" s="62"/>
      <c r="L147" s="60"/>
      <c r="M147" s="24"/>
      <c r="P147" s="25"/>
    </row>
    <row r="148" spans="3:19" ht="15" customHeight="1">
      <c r="C148" s="6"/>
      <c r="D148" s="54" t="s">
        <v>313</v>
      </c>
      <c r="E148" s="26" t="s">
        <v>190</v>
      </c>
      <c r="F148" s="22" t="s">
        <v>314</v>
      </c>
      <c r="G148" s="23">
        <f t="shared" si="1"/>
        <v>2800.8925301000004</v>
      </c>
      <c r="H148" s="63">
        <f>H149+H150</f>
        <v>0</v>
      </c>
      <c r="I148" s="63">
        <f>I149+I150</f>
        <v>2799.8146472000003</v>
      </c>
      <c r="J148" s="63">
        <f>J149+J150</f>
        <v>1.0778829000000001</v>
      </c>
      <c r="K148" s="63">
        <f>K149+K150</f>
        <v>0</v>
      </c>
      <c r="L148" s="60"/>
      <c r="M148" s="24"/>
      <c r="P148" s="25"/>
    </row>
    <row r="149" spans="3:19" ht="15" customHeight="1">
      <c r="C149" s="6"/>
      <c r="D149" s="54" t="s">
        <v>315</v>
      </c>
      <c r="E149" s="49" t="s">
        <v>316</v>
      </c>
      <c r="F149" s="22" t="s">
        <v>317</v>
      </c>
      <c r="G149" s="23">
        <f t="shared" si="1"/>
        <v>1819.1300645000003</v>
      </c>
      <c r="H149" s="62"/>
      <c r="I149" s="62">
        <f>I127*172429.39/1000</f>
        <v>1819.1300645000003</v>
      </c>
      <c r="J149" s="62"/>
      <c r="K149" s="62"/>
      <c r="L149" s="60"/>
      <c r="M149" s="24"/>
      <c r="P149" s="25"/>
    </row>
    <row r="150" spans="3:19" ht="15" customHeight="1">
      <c r="C150" s="6"/>
      <c r="D150" s="54" t="s">
        <v>319</v>
      </c>
      <c r="E150" s="49" t="s">
        <v>285</v>
      </c>
      <c r="F150" s="22" t="s">
        <v>320</v>
      </c>
      <c r="G150" s="23">
        <f t="shared" si="1"/>
        <v>981.76246560000004</v>
      </c>
      <c r="H150" s="62"/>
      <c r="I150" s="62">
        <f>I26*164.94/1000</f>
        <v>980.68458270000008</v>
      </c>
      <c r="J150" s="62">
        <f>J19*164.94/1000</f>
        <v>1.0778829000000001</v>
      </c>
      <c r="K150" s="62"/>
      <c r="L150" s="60"/>
      <c r="M150" s="24"/>
      <c r="P150" s="25"/>
    </row>
    <row r="151" spans="3:19">
      <c r="D151" s="11"/>
      <c r="E151" s="64"/>
      <c r="F151" s="64"/>
      <c r="G151" s="64"/>
      <c r="H151" s="64"/>
      <c r="I151" s="64"/>
      <c r="J151" s="64"/>
      <c r="K151" s="65"/>
      <c r="L151" s="65"/>
      <c r="M151" s="65"/>
      <c r="N151" s="65"/>
      <c r="O151" s="65"/>
      <c r="P151" s="65"/>
      <c r="Q151" s="65"/>
      <c r="R151" s="66"/>
      <c r="S151" s="66"/>
    </row>
    <row r="152" spans="3:19" ht="12.75">
      <c r="E152" s="24" t="s">
        <v>322</v>
      </c>
      <c r="F152" s="76" t="str">
        <f>IF([2]Титульный!G45="","",[2]Титульный!G45)</f>
        <v>экономист</v>
      </c>
      <c r="G152" s="76"/>
      <c r="H152" s="67"/>
      <c r="I152" s="76" t="str">
        <f>IF([2]Титульный!G44="","",[2]Титульный!G44)</f>
        <v>Гизикова А.Н.</v>
      </c>
      <c r="J152" s="76"/>
      <c r="K152" s="76"/>
      <c r="L152" s="67"/>
      <c r="M152" s="68"/>
      <c r="N152" s="68"/>
      <c r="O152" s="69"/>
      <c r="P152" s="65"/>
      <c r="Q152" s="65"/>
      <c r="R152" s="66"/>
      <c r="S152" s="66"/>
    </row>
    <row r="153" spans="3:19" ht="12.75">
      <c r="E153" s="70" t="s">
        <v>323</v>
      </c>
      <c r="F153" s="86" t="s">
        <v>324</v>
      </c>
      <c r="G153" s="86"/>
      <c r="H153" s="69"/>
      <c r="I153" s="86" t="s">
        <v>325</v>
      </c>
      <c r="J153" s="86"/>
      <c r="K153" s="86"/>
      <c r="L153" s="69"/>
      <c r="M153" s="86" t="s">
        <v>326</v>
      </c>
      <c r="N153" s="86"/>
      <c r="O153" s="24"/>
      <c r="P153" s="65"/>
      <c r="Q153" s="65"/>
      <c r="R153" s="66"/>
      <c r="S153" s="66"/>
    </row>
    <row r="154" spans="3:19" ht="12.75">
      <c r="E154" s="70" t="s">
        <v>327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65"/>
      <c r="Q154" s="65"/>
      <c r="R154" s="66"/>
      <c r="S154" s="66"/>
    </row>
    <row r="155" spans="3:19" ht="12.75">
      <c r="E155" s="70" t="s">
        <v>328</v>
      </c>
      <c r="F155" s="76" t="str">
        <f>IF([2]Титульный!G46="","",[2]Титульный!G46)</f>
        <v>(861) 258-50-71</v>
      </c>
      <c r="G155" s="76"/>
      <c r="H155" s="76"/>
      <c r="I155" s="24"/>
      <c r="J155" s="70" t="s">
        <v>329</v>
      </c>
      <c r="K155" s="71"/>
      <c r="L155" s="24"/>
      <c r="M155" s="24"/>
      <c r="N155" s="24"/>
      <c r="O155" s="24"/>
      <c r="Q155" s="65"/>
      <c r="R155" s="66"/>
      <c r="S155" s="66"/>
    </row>
    <row r="156" spans="3:19" ht="12.75">
      <c r="E156" s="24" t="s">
        <v>330</v>
      </c>
      <c r="F156" s="87" t="s">
        <v>331</v>
      </c>
      <c r="G156" s="87"/>
      <c r="H156" s="87"/>
      <c r="I156" s="24"/>
      <c r="J156" s="72" t="s">
        <v>332</v>
      </c>
      <c r="K156" s="72"/>
      <c r="L156" s="24"/>
      <c r="M156" s="24"/>
      <c r="N156" s="24"/>
      <c r="O156" s="24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  <row r="184" spans="5:19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</row>
    <row r="185" spans="5:19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19 E58 E65 E81"/>
    <dataValidation type="decimal" allowBlank="1" showErrorMessage="1" errorTitle="Ошибка" error="Допускается ввод только действительных чисел!" sqref="G24:K26 G93:K95 G15:K19 G54:K58 G83:K91 G97:K128 G63:K65 G44:K52 G28:K42 G130:K150 G60:K61 G21:K22 G67:K81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indexed="31"/>
  </sheetPr>
  <dimension ref="A1:CC185"/>
  <sheetViews>
    <sheetView topLeftCell="C7" workbookViewId="0">
      <selection activeCell="K21" sqref="K21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342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3183.6680000000001</v>
      </c>
      <c r="H15" s="23">
        <f>H16+H17+H21+H24</f>
        <v>0</v>
      </c>
      <c r="I15" s="23">
        <f>I16+I17+I21+I24</f>
        <v>3173.48</v>
      </c>
      <c r="J15" s="23">
        <f>J16+J17+J21+J24</f>
        <v>10.188000000000001</v>
      </c>
      <c r="K15" s="23">
        <f>K16+K17+K21+K24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6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10.188000000000001</v>
      </c>
      <c r="H17" s="23">
        <f>SUM(H18:H20)</f>
        <v>0</v>
      </c>
      <c r="I17" s="23">
        <f>SUM(I18:I20)</f>
        <v>0</v>
      </c>
      <c r="J17" s="23">
        <f>SUM(J18:J20)</f>
        <v>10.188000000000001</v>
      </c>
      <c r="K17" s="23">
        <f>SUM(K18:K20)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32" t="s">
        <v>30</v>
      </c>
      <c r="D19" s="33" t="s">
        <v>31</v>
      </c>
      <c r="E19" s="34" t="s">
        <v>32</v>
      </c>
      <c r="F19" s="35">
        <v>31</v>
      </c>
      <c r="G19" s="36">
        <f>SUM(H19:K19)</f>
        <v>10.188000000000001</v>
      </c>
      <c r="H19" s="37"/>
      <c r="I19" s="37"/>
      <c r="J19" s="37">
        <f>10188/1000</f>
        <v>10.188000000000001</v>
      </c>
      <c r="K19" s="38"/>
      <c r="L19" s="19"/>
      <c r="M19" s="39"/>
      <c r="N19" s="40"/>
      <c r="O19" s="40"/>
    </row>
    <row r="20" spans="3:16" s="17" customFormat="1" ht="15" customHeight="1">
      <c r="C20" s="18"/>
      <c r="D20" s="41"/>
      <c r="E20" s="42" t="s">
        <v>33</v>
      </c>
      <c r="F20" s="43"/>
      <c r="G20" s="43"/>
      <c r="H20" s="43"/>
      <c r="I20" s="43"/>
      <c r="J20" s="43"/>
      <c r="K20" s="44"/>
      <c r="L20" s="19"/>
      <c r="M20" s="24"/>
      <c r="P20" s="45"/>
    </row>
    <row r="21" spans="3:16" s="17" customFormat="1" ht="15" customHeight="1">
      <c r="C21" s="18"/>
      <c r="D21" s="20" t="s">
        <v>34</v>
      </c>
      <c r="E21" s="26" t="s">
        <v>35</v>
      </c>
      <c r="F21" s="22" t="s">
        <v>36</v>
      </c>
      <c r="G21" s="23">
        <f t="shared" si="0"/>
        <v>0</v>
      </c>
      <c r="H21" s="23">
        <f>SUM(H22:H23)</f>
        <v>0</v>
      </c>
      <c r="I21" s="23">
        <f>SUM(I22:I23)</f>
        <v>0</v>
      </c>
      <c r="J21" s="23">
        <f>SUM(J22:J23)</f>
        <v>0</v>
      </c>
      <c r="K21" s="23">
        <f>SUM(K22:K23)</f>
        <v>0</v>
      </c>
      <c r="L21" s="19"/>
      <c r="M21" s="24"/>
      <c r="P21" s="45"/>
    </row>
    <row r="22" spans="3:16" s="17" customFormat="1" ht="12.75" hidden="1">
      <c r="C22" s="18"/>
      <c r="D22" s="28" t="s">
        <v>37</v>
      </c>
      <c r="E22" s="29"/>
      <c r="F22" s="30" t="s">
        <v>36</v>
      </c>
      <c r="G22" s="31"/>
      <c r="H22" s="31"/>
      <c r="I22" s="31"/>
      <c r="J22" s="31"/>
      <c r="K22" s="31"/>
      <c r="L22" s="19"/>
      <c r="M22" s="24"/>
      <c r="P22" s="25"/>
    </row>
    <row r="23" spans="3:16" s="17" customFormat="1" ht="15" customHeight="1">
      <c r="C23" s="18"/>
      <c r="D23" s="41"/>
      <c r="E23" s="42" t="s">
        <v>33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>
      <c r="C24" s="18"/>
      <c r="D24" s="20" t="s">
        <v>38</v>
      </c>
      <c r="E24" s="26" t="s">
        <v>39</v>
      </c>
      <c r="F24" s="22" t="s">
        <v>40</v>
      </c>
      <c r="G24" s="23">
        <f t="shared" si="0"/>
        <v>3173.48</v>
      </c>
      <c r="H24" s="23">
        <f>SUM(H25:H27)</f>
        <v>0</v>
      </c>
      <c r="I24" s="23">
        <f>SUM(I25:I27)</f>
        <v>3173.48</v>
      </c>
      <c r="J24" s="23">
        <f>SUM(J25:J27)</f>
        <v>0</v>
      </c>
      <c r="K24" s="23">
        <f>SUM(K25:K27)</f>
        <v>0</v>
      </c>
      <c r="L24" s="19"/>
      <c r="M24" s="24"/>
      <c r="P24" s="25"/>
    </row>
    <row r="25" spans="3:16" s="17" customFormat="1" ht="12.75" hidden="1">
      <c r="C25" s="18"/>
      <c r="D25" s="28" t="s">
        <v>41</v>
      </c>
      <c r="E25" s="29"/>
      <c r="F25" s="30" t="s">
        <v>40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>
      <c r="C26" s="32" t="s">
        <v>30</v>
      </c>
      <c r="D26" s="33" t="s">
        <v>42</v>
      </c>
      <c r="E26" s="34" t="s">
        <v>43</v>
      </c>
      <c r="F26" s="35">
        <v>431</v>
      </c>
      <c r="G26" s="36">
        <f>SUM(H26:K26)</f>
        <v>3173.48</v>
      </c>
      <c r="H26" s="37"/>
      <c r="I26" s="37">
        <f>3173480/1000</f>
        <v>3173.48</v>
      </c>
      <c r="J26" s="37"/>
      <c r="K26" s="38"/>
      <c r="L26" s="19"/>
      <c r="M26" s="39"/>
      <c r="N26" s="40"/>
      <c r="O26" s="40"/>
    </row>
    <row r="27" spans="3:16" s="17" customFormat="1" ht="15" customHeight="1">
      <c r="C27" s="18"/>
      <c r="D27" s="41"/>
      <c r="E27" s="42" t="s">
        <v>33</v>
      </c>
      <c r="F27" s="43"/>
      <c r="G27" s="43"/>
      <c r="H27" s="43"/>
      <c r="I27" s="43"/>
      <c r="J27" s="43"/>
      <c r="K27" s="44"/>
      <c r="L27" s="19"/>
      <c r="M27" s="24"/>
      <c r="P27" s="25"/>
    </row>
    <row r="28" spans="3:16" s="17" customFormat="1" ht="15" customHeight="1">
      <c r="C28" s="18"/>
      <c r="D28" s="20" t="s">
        <v>44</v>
      </c>
      <c r="E28" s="21" t="s">
        <v>45</v>
      </c>
      <c r="F28" s="22" t="s">
        <v>46</v>
      </c>
      <c r="G28" s="23">
        <f t="shared" si="0"/>
        <v>1514.6659999999999</v>
      </c>
      <c r="H28" s="23">
        <f>H30+H31+H32</f>
        <v>0</v>
      </c>
      <c r="I28" s="23">
        <f>I29+I31+I32</f>
        <v>0</v>
      </c>
      <c r="J28" s="23">
        <f>J29+J30+J32</f>
        <v>897.47199999999998</v>
      </c>
      <c r="K28" s="23">
        <f>K29+K30+K31</f>
        <v>617.19399999999996</v>
      </c>
      <c r="L28" s="19"/>
      <c r="M28" s="24"/>
      <c r="P28" s="25"/>
    </row>
    <row r="29" spans="3:16" s="17" customFormat="1" ht="15" customHeight="1">
      <c r="C29" s="18"/>
      <c r="D29" s="20" t="s">
        <v>47</v>
      </c>
      <c r="E29" s="26" t="s">
        <v>17</v>
      </c>
      <c r="F29" s="22" t="s">
        <v>48</v>
      </c>
      <c r="G29" s="23">
        <f t="shared" si="0"/>
        <v>0</v>
      </c>
      <c r="H29" s="46"/>
      <c r="I29" s="27"/>
      <c r="J29" s="27"/>
      <c r="K29" s="27"/>
      <c r="L29" s="19"/>
      <c r="M29" s="24"/>
      <c r="P29" s="25"/>
    </row>
    <row r="30" spans="3:16" s="17" customFormat="1" ht="15" customHeight="1">
      <c r="C30" s="18"/>
      <c r="D30" s="20" t="s">
        <v>49</v>
      </c>
      <c r="E30" s="26" t="s">
        <v>18</v>
      </c>
      <c r="F30" s="22" t="s">
        <v>50</v>
      </c>
      <c r="G30" s="23">
        <f t="shared" si="0"/>
        <v>897.47199999999998</v>
      </c>
      <c r="H30" s="27"/>
      <c r="I30" s="46"/>
      <c r="J30" s="27">
        <f>I15-I34-I48</f>
        <v>897.47199999999998</v>
      </c>
      <c r="K30" s="27"/>
      <c r="L30" s="19"/>
      <c r="M30" s="24"/>
      <c r="P30" s="25"/>
    </row>
    <row r="31" spans="3:16" s="17" customFormat="1" ht="15" customHeight="1">
      <c r="C31" s="18"/>
      <c r="D31" s="20" t="s">
        <v>51</v>
      </c>
      <c r="E31" s="26" t="s">
        <v>19</v>
      </c>
      <c r="F31" s="22" t="s">
        <v>52</v>
      </c>
      <c r="G31" s="23">
        <f t="shared" si="0"/>
        <v>617.19399999999996</v>
      </c>
      <c r="H31" s="27"/>
      <c r="I31" s="27"/>
      <c r="J31" s="46"/>
      <c r="K31" s="27">
        <f>J15+J28-J34-J48</f>
        <v>617.19399999999996</v>
      </c>
      <c r="L31" s="19"/>
      <c r="M31" s="24"/>
      <c r="P31" s="25"/>
    </row>
    <row r="32" spans="3:16" s="17" customFormat="1" ht="15" customHeight="1">
      <c r="C32" s="18"/>
      <c r="D32" s="20" t="s">
        <v>53</v>
      </c>
      <c r="E32" s="26" t="s">
        <v>54</v>
      </c>
      <c r="F32" s="22" t="s">
        <v>55</v>
      </c>
      <c r="G32" s="23">
        <f t="shared" si="0"/>
        <v>0</v>
      </c>
      <c r="H32" s="27"/>
      <c r="I32" s="27"/>
      <c r="J32" s="27"/>
      <c r="K32" s="46"/>
      <c r="L32" s="19"/>
      <c r="M32" s="24"/>
      <c r="P32" s="25"/>
    </row>
    <row r="33" spans="3:16" s="17" customFormat="1" ht="15" customHeight="1">
      <c r="C33" s="18"/>
      <c r="D33" s="20" t="s">
        <v>56</v>
      </c>
      <c r="E33" s="47" t="s">
        <v>57</v>
      </c>
      <c r="F33" s="22" t="s">
        <v>58</v>
      </c>
      <c r="G33" s="23">
        <f t="shared" si="0"/>
        <v>0</v>
      </c>
      <c r="H33" s="27"/>
      <c r="I33" s="27"/>
      <c r="J33" s="27"/>
      <c r="K33" s="27"/>
      <c r="L33" s="19"/>
      <c r="M33" s="24"/>
      <c r="P33" s="25"/>
    </row>
    <row r="34" spans="3:16" s="17" customFormat="1" ht="15" customHeight="1">
      <c r="C34" s="18"/>
      <c r="D34" s="20" t="s">
        <v>59</v>
      </c>
      <c r="E34" s="21" t="s">
        <v>60</v>
      </c>
      <c r="F34" s="48" t="s">
        <v>61</v>
      </c>
      <c r="G34" s="23">
        <f t="shared" si="0"/>
        <v>3141.0460000000003</v>
      </c>
      <c r="H34" s="23">
        <f>H35+H37+H40+H44</f>
        <v>0</v>
      </c>
      <c r="I34" s="23">
        <f>I35+I37+I40+I44</f>
        <v>2274.46</v>
      </c>
      <c r="J34" s="23">
        <f>J35+J37+J40+J44</f>
        <v>284.255</v>
      </c>
      <c r="K34" s="23">
        <f>K35+K37+K40+K44</f>
        <v>582.33100000000002</v>
      </c>
      <c r="L34" s="19"/>
      <c r="M34" s="24"/>
      <c r="P34" s="25"/>
    </row>
    <row r="35" spans="3:16" s="17" customFormat="1" ht="22.5">
      <c r="C35" s="18"/>
      <c r="D35" s="20" t="s">
        <v>62</v>
      </c>
      <c r="E35" s="26" t="s">
        <v>63</v>
      </c>
      <c r="F35" s="22" t="s">
        <v>64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65</v>
      </c>
      <c r="E36" s="49" t="s">
        <v>66</v>
      </c>
      <c r="F36" s="22" t="s">
        <v>67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>
      <c r="C37" s="18"/>
      <c r="D37" s="20" t="s">
        <v>68</v>
      </c>
      <c r="E37" s="26" t="s">
        <v>69</v>
      </c>
      <c r="F37" s="22" t="s">
        <v>70</v>
      </c>
      <c r="G37" s="23">
        <f t="shared" si="0"/>
        <v>1612.9340000000002</v>
      </c>
      <c r="H37" s="27"/>
      <c r="I37" s="27">
        <f>746348/1000</f>
        <v>746.34799999999996</v>
      </c>
      <c r="J37" s="27">
        <f>284255/1000</f>
        <v>284.255</v>
      </c>
      <c r="K37" s="27">
        <f>582331/1000</f>
        <v>582.33100000000002</v>
      </c>
      <c r="L37" s="19"/>
      <c r="M37" s="24"/>
      <c r="P37" s="25"/>
    </row>
    <row r="38" spans="3:16" s="17" customFormat="1" ht="15" customHeight="1">
      <c r="C38" s="18"/>
      <c r="D38" s="20" t="s">
        <v>71</v>
      </c>
      <c r="E38" s="49" t="s">
        <v>72</v>
      </c>
      <c r="F38" s="22" t="s">
        <v>73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74</v>
      </c>
      <c r="E39" s="50" t="s">
        <v>66</v>
      </c>
      <c r="F39" s="22" t="s">
        <v>75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>
      <c r="C40" s="18"/>
      <c r="D40" s="20" t="s">
        <v>76</v>
      </c>
      <c r="E40" s="26" t="s">
        <v>77</v>
      </c>
      <c r="F40" s="22" t="s">
        <v>78</v>
      </c>
      <c r="G40" s="23">
        <f t="shared" si="0"/>
        <v>1528.1120000000001</v>
      </c>
      <c r="H40" s="23">
        <f>SUM(H41:H43)</f>
        <v>0</v>
      </c>
      <c r="I40" s="23">
        <f>SUM(I41:I43)</f>
        <v>1528.1120000000001</v>
      </c>
      <c r="J40" s="23">
        <f>SUM(J41:J43)</f>
        <v>0</v>
      </c>
      <c r="K40" s="23">
        <f>SUM(K41:K43)</f>
        <v>0</v>
      </c>
      <c r="L40" s="19"/>
      <c r="M40" s="24"/>
      <c r="P40" s="25"/>
    </row>
    <row r="41" spans="3:16" s="17" customFormat="1" ht="12.75" hidden="1">
      <c r="C41" s="18"/>
      <c r="D41" s="28" t="s">
        <v>79</v>
      </c>
      <c r="E41" s="29"/>
      <c r="F41" s="30" t="s">
        <v>78</v>
      </c>
      <c r="G41" s="31"/>
      <c r="H41" s="31"/>
      <c r="I41" s="31"/>
      <c r="J41" s="31"/>
      <c r="K41" s="31"/>
      <c r="L41" s="19"/>
      <c r="M41" s="24"/>
      <c r="P41" s="25"/>
    </row>
    <row r="42" spans="3:16" s="17" customFormat="1" ht="15" customHeight="1">
      <c r="C42" s="32" t="s">
        <v>30</v>
      </c>
      <c r="D42" s="33" t="s">
        <v>80</v>
      </c>
      <c r="E42" s="34" t="s">
        <v>81</v>
      </c>
      <c r="F42" s="35">
        <v>751</v>
      </c>
      <c r="G42" s="36">
        <f>SUM(H42:K42)</f>
        <v>1528.1120000000001</v>
      </c>
      <c r="H42" s="37"/>
      <c r="I42" s="37">
        <f>1528112/1000</f>
        <v>1528.1120000000001</v>
      </c>
      <c r="J42" s="37"/>
      <c r="K42" s="38"/>
      <c r="L42" s="19"/>
      <c r="M42" s="39"/>
      <c r="N42" s="40"/>
      <c r="O42" s="40"/>
    </row>
    <row r="43" spans="3:16" s="17" customFormat="1" ht="15" customHeight="1">
      <c r="C43" s="18"/>
      <c r="D43" s="51"/>
      <c r="E43" s="42" t="s">
        <v>33</v>
      </c>
      <c r="F43" s="43"/>
      <c r="G43" s="43"/>
      <c r="H43" s="43"/>
      <c r="I43" s="43"/>
      <c r="J43" s="43"/>
      <c r="K43" s="44"/>
      <c r="L43" s="19"/>
      <c r="M43" s="24"/>
      <c r="P43" s="25"/>
    </row>
    <row r="44" spans="3:16" s="17" customFormat="1" ht="15" customHeight="1">
      <c r="C44" s="18"/>
      <c r="D44" s="20" t="s">
        <v>82</v>
      </c>
      <c r="E44" s="52" t="s">
        <v>83</v>
      </c>
      <c r="F44" s="22" t="s">
        <v>84</v>
      </c>
      <c r="G44" s="23">
        <f t="shared" si="0"/>
        <v>0</v>
      </c>
      <c r="H44" s="27"/>
      <c r="I44" s="27"/>
      <c r="J44" s="27"/>
      <c r="K44" s="27"/>
      <c r="L44" s="19"/>
      <c r="M44" s="24"/>
      <c r="P44" s="25"/>
    </row>
    <row r="45" spans="3:16" s="17" customFormat="1" ht="15" customHeight="1">
      <c r="C45" s="18"/>
      <c r="D45" s="20" t="s">
        <v>85</v>
      </c>
      <c r="E45" s="21" t="s">
        <v>86</v>
      </c>
      <c r="F45" s="22" t="s">
        <v>87</v>
      </c>
      <c r="G45" s="23">
        <f t="shared" si="0"/>
        <v>1514.6659999999999</v>
      </c>
      <c r="H45" s="27"/>
      <c r="I45" s="27">
        <f>I15-I34-I48</f>
        <v>897.47199999999998</v>
      </c>
      <c r="J45" s="27">
        <f>J19+J30-J37-J48</f>
        <v>617.19399999999996</v>
      </c>
      <c r="K45" s="27"/>
      <c r="L45" s="19"/>
      <c r="M45" s="24"/>
      <c r="P45" s="25"/>
    </row>
    <row r="46" spans="3:16" s="17" customFormat="1" ht="15" customHeight="1">
      <c r="C46" s="18"/>
      <c r="D46" s="20" t="s">
        <v>88</v>
      </c>
      <c r="E46" s="21" t="s">
        <v>89</v>
      </c>
      <c r="F46" s="22" t="s">
        <v>90</v>
      </c>
      <c r="G46" s="23">
        <f t="shared" si="0"/>
        <v>0</v>
      </c>
      <c r="H46" s="27"/>
      <c r="I46" s="27"/>
      <c r="J46" s="27"/>
      <c r="K46" s="27"/>
      <c r="L46" s="19"/>
      <c r="M46" s="24"/>
      <c r="P46" s="25"/>
    </row>
    <row r="47" spans="3:16" s="17" customFormat="1" ht="15" customHeight="1">
      <c r="C47" s="18"/>
      <c r="D47" s="20" t="s">
        <v>91</v>
      </c>
      <c r="E47" s="21" t="s">
        <v>92</v>
      </c>
      <c r="F47" s="22" t="s">
        <v>93</v>
      </c>
      <c r="G47" s="23">
        <f t="shared" si="0"/>
        <v>0</v>
      </c>
      <c r="H47" s="27"/>
      <c r="I47" s="27"/>
      <c r="J47" s="27"/>
      <c r="K47" s="27"/>
      <c r="L47" s="19"/>
      <c r="M47" s="24"/>
      <c r="P47" s="25"/>
    </row>
    <row r="48" spans="3:16" s="17" customFormat="1" ht="15" customHeight="1">
      <c r="C48" s="18"/>
      <c r="D48" s="20" t="s">
        <v>94</v>
      </c>
      <c r="E48" s="21" t="s">
        <v>95</v>
      </c>
      <c r="F48" s="22" t="s">
        <v>96</v>
      </c>
      <c r="G48" s="23">
        <f t="shared" si="0"/>
        <v>42.622</v>
      </c>
      <c r="H48" s="27"/>
      <c r="I48" s="27">
        <f>1548/1000</f>
        <v>1.548</v>
      </c>
      <c r="J48" s="27">
        <f>6211/1000</f>
        <v>6.2110000000000003</v>
      </c>
      <c r="K48" s="27">
        <f>34863/1000</f>
        <v>34.863</v>
      </c>
      <c r="L48" s="19"/>
      <c r="M48" s="24"/>
      <c r="P48" s="25"/>
    </row>
    <row r="49" spans="3:16" s="17" customFormat="1" ht="15" customHeight="1">
      <c r="C49" s="18"/>
      <c r="D49" s="20" t="s">
        <v>97</v>
      </c>
      <c r="E49" s="26" t="s">
        <v>98</v>
      </c>
      <c r="F49" s="22" t="s">
        <v>99</v>
      </c>
      <c r="G49" s="23">
        <f t="shared" si="0"/>
        <v>0</v>
      </c>
      <c r="H49" s="27"/>
      <c r="I49" s="27"/>
      <c r="J49" s="27"/>
      <c r="K49" s="27"/>
      <c r="L49" s="19"/>
      <c r="M49" s="24"/>
      <c r="P49" s="25"/>
    </row>
    <row r="50" spans="3:16" s="17" customFormat="1" ht="15" customHeight="1">
      <c r="C50" s="18"/>
      <c r="D50" s="20" t="s">
        <v>100</v>
      </c>
      <c r="E50" s="21" t="s">
        <v>101</v>
      </c>
      <c r="F50" s="22" t="s">
        <v>102</v>
      </c>
      <c r="G50" s="23">
        <f t="shared" si="0"/>
        <v>259.99999999999994</v>
      </c>
      <c r="H50" s="27"/>
      <c r="I50" s="27">
        <v>43.358859829047589</v>
      </c>
      <c r="J50" s="27">
        <v>100.21179223588436</v>
      </c>
      <c r="K50" s="27">
        <f>112.429347935068+4</f>
        <v>116.42934793506799</v>
      </c>
      <c r="L50" s="19"/>
      <c r="M50" s="24"/>
      <c r="P50" s="45"/>
    </row>
    <row r="51" spans="3:16" s="17" customFormat="1" ht="33.75">
      <c r="C51" s="18"/>
      <c r="D51" s="20" t="s">
        <v>103</v>
      </c>
      <c r="E51" s="47" t="s">
        <v>104</v>
      </c>
      <c r="F51" s="22" t="s">
        <v>105</v>
      </c>
      <c r="G51" s="23">
        <f t="shared" si="0"/>
        <v>-217.37799999999993</v>
      </c>
      <c r="H51" s="23">
        <f>H48-H50</f>
        <v>0</v>
      </c>
      <c r="I51" s="23">
        <f>I48-I50</f>
        <v>-41.810859829047587</v>
      </c>
      <c r="J51" s="23">
        <f>J48-J50</f>
        <v>-94.000792235884362</v>
      </c>
      <c r="K51" s="23">
        <f>K48-K50</f>
        <v>-81.566347935067995</v>
      </c>
      <c r="L51" s="19"/>
      <c r="M51" s="24"/>
      <c r="P51" s="45"/>
    </row>
    <row r="52" spans="3:16" s="17" customFormat="1" ht="15" customHeight="1">
      <c r="C52" s="18"/>
      <c r="D52" s="20" t="s">
        <v>106</v>
      </c>
      <c r="E52" s="21" t="s">
        <v>107</v>
      </c>
      <c r="F52" s="22" t="s">
        <v>108</v>
      </c>
      <c r="G52" s="23">
        <f t="shared" si="0"/>
        <v>0</v>
      </c>
      <c r="H52" s="23">
        <f>(H15+H28+H33)-(H34+H45+H46+H47+H48)</f>
        <v>0</v>
      </c>
      <c r="I52" s="23">
        <f>(I15+I28+I33)-(I34+I45+I46+I47+I48)</f>
        <v>0</v>
      </c>
      <c r="J52" s="23">
        <f>(J15+J28+J33)-(J34+J45+J46+J47+J48)</f>
        <v>0</v>
      </c>
      <c r="K52" s="23">
        <f>(K15+K28+K33)-(K34+K45+K46+K47+K48)</f>
        <v>0</v>
      </c>
      <c r="L52" s="19"/>
      <c r="M52" s="24"/>
      <c r="P52" s="25"/>
    </row>
    <row r="53" spans="3:16" s="17" customFormat="1" ht="15" customHeight="1">
      <c r="C53" s="18"/>
      <c r="D53" s="83" t="s">
        <v>109</v>
      </c>
      <c r="E53" s="84"/>
      <c r="F53" s="84"/>
      <c r="G53" s="84"/>
      <c r="H53" s="84"/>
      <c r="I53" s="84"/>
      <c r="J53" s="84"/>
      <c r="K53" s="85"/>
      <c r="L53" s="19"/>
      <c r="M53" s="24"/>
      <c r="P53" s="45"/>
    </row>
    <row r="54" spans="3:16" s="17" customFormat="1" ht="15" customHeight="1">
      <c r="C54" s="18"/>
      <c r="D54" s="20" t="s">
        <v>110</v>
      </c>
      <c r="E54" s="21" t="s">
        <v>23</v>
      </c>
      <c r="F54" s="22" t="s">
        <v>111</v>
      </c>
      <c r="G54" s="23">
        <f t="shared" si="0"/>
        <v>4.4217611111111106</v>
      </c>
      <c r="H54" s="23">
        <f>H55+H56+H60+H63</f>
        <v>0</v>
      </c>
      <c r="I54" s="23">
        <f>I55+I56+I60+I63</f>
        <v>4.4076111111111107</v>
      </c>
      <c r="J54" s="23">
        <f>J55+J56+J60+J63</f>
        <v>1.4150000000000001E-2</v>
      </c>
      <c r="K54" s="23">
        <f>K55+K56+K60+K63</f>
        <v>0</v>
      </c>
      <c r="L54" s="19"/>
      <c r="M54" s="24"/>
      <c r="P54" s="25"/>
    </row>
    <row r="55" spans="3:16" s="17" customFormat="1" ht="15" customHeight="1">
      <c r="C55" s="18"/>
      <c r="D55" s="20" t="s">
        <v>112</v>
      </c>
      <c r="E55" s="26" t="s">
        <v>25</v>
      </c>
      <c r="F55" s="22" t="s">
        <v>113</v>
      </c>
      <c r="G55" s="23">
        <f t="shared" si="0"/>
        <v>0</v>
      </c>
      <c r="H55" s="27"/>
      <c r="I55" s="27"/>
      <c r="J55" s="27"/>
      <c r="K55" s="27"/>
      <c r="L55" s="19"/>
      <c r="M55" s="24"/>
      <c r="P55" s="25"/>
    </row>
    <row r="56" spans="3:16" s="17" customFormat="1" ht="15" customHeight="1">
      <c r="C56" s="18"/>
      <c r="D56" s="20" t="s">
        <v>114</v>
      </c>
      <c r="E56" s="26" t="s">
        <v>27</v>
      </c>
      <c r="F56" s="22" t="s">
        <v>115</v>
      </c>
      <c r="G56" s="23">
        <f t="shared" si="0"/>
        <v>1.4150000000000001E-2</v>
      </c>
      <c r="H56" s="23">
        <f>SUM(H57:H59)</f>
        <v>0</v>
      </c>
      <c r="I56" s="23">
        <f>SUM(I57:I59)</f>
        <v>0</v>
      </c>
      <c r="J56" s="23">
        <f>SUM(J57:J59)</f>
        <v>1.4150000000000001E-2</v>
      </c>
      <c r="K56" s="23">
        <f>SUM(K57:K59)</f>
        <v>0</v>
      </c>
      <c r="L56" s="19"/>
      <c r="M56" s="24"/>
      <c r="P56" s="25"/>
    </row>
    <row r="57" spans="3:16" s="17" customFormat="1" ht="12.75" hidden="1">
      <c r="C57" s="18"/>
      <c r="D57" s="28" t="s">
        <v>116</v>
      </c>
      <c r="E57" s="29"/>
      <c r="F57" s="30" t="s">
        <v>115</v>
      </c>
      <c r="G57" s="31"/>
      <c r="H57" s="31"/>
      <c r="I57" s="31"/>
      <c r="J57" s="31"/>
      <c r="K57" s="31"/>
      <c r="L57" s="19"/>
      <c r="M57" s="24"/>
      <c r="P57" s="25"/>
    </row>
    <row r="58" spans="3:16" s="17" customFormat="1" ht="15" customHeight="1">
      <c r="C58" s="32" t="s">
        <v>30</v>
      </c>
      <c r="D58" s="33" t="s">
        <v>117</v>
      </c>
      <c r="E58" s="34" t="s">
        <v>32</v>
      </c>
      <c r="F58" s="35">
        <v>1061</v>
      </c>
      <c r="G58" s="36">
        <f>SUM(H58:K58)</f>
        <v>1.4150000000000001E-2</v>
      </c>
      <c r="H58" s="37"/>
      <c r="I58" s="37"/>
      <c r="J58" s="37">
        <f>J19/720</f>
        <v>1.4150000000000001E-2</v>
      </c>
      <c r="K58" s="38"/>
      <c r="L58" s="19"/>
      <c r="M58" s="39"/>
      <c r="N58" s="40"/>
      <c r="O58" s="40"/>
    </row>
    <row r="59" spans="3:16" s="17" customFormat="1" ht="15" customHeight="1">
      <c r="C59" s="18"/>
      <c r="D59" s="41"/>
      <c r="E59" s="42" t="s">
        <v>33</v>
      </c>
      <c r="F59" s="43"/>
      <c r="G59" s="43"/>
      <c r="H59" s="43"/>
      <c r="I59" s="43"/>
      <c r="J59" s="43"/>
      <c r="K59" s="44"/>
      <c r="L59" s="19"/>
      <c r="M59" s="24"/>
      <c r="P59" s="25"/>
    </row>
    <row r="60" spans="3:16" s="17" customFormat="1" ht="15" customHeight="1">
      <c r="C60" s="18"/>
      <c r="D60" s="20" t="s">
        <v>118</v>
      </c>
      <c r="E60" s="26" t="s">
        <v>35</v>
      </c>
      <c r="F60" s="22" t="s">
        <v>119</v>
      </c>
      <c r="G60" s="23">
        <f t="shared" si="0"/>
        <v>0</v>
      </c>
      <c r="H60" s="23">
        <f>SUM(H61:H62)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19"/>
      <c r="M60" s="24"/>
      <c r="P60" s="25"/>
    </row>
    <row r="61" spans="3:16" s="17" customFormat="1" ht="12.75" hidden="1" customHeight="1">
      <c r="C61" s="18"/>
      <c r="D61" s="28" t="s">
        <v>120</v>
      </c>
      <c r="E61" s="29"/>
      <c r="F61" s="30" t="s">
        <v>119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customHeight="1">
      <c r="C62" s="18"/>
      <c r="D62" s="41"/>
      <c r="E62" s="42" t="s">
        <v>33</v>
      </c>
      <c r="F62" s="43"/>
      <c r="G62" s="43"/>
      <c r="H62" s="43"/>
      <c r="I62" s="43"/>
      <c r="J62" s="43"/>
      <c r="K62" s="44"/>
      <c r="L62" s="19"/>
      <c r="M62" s="24"/>
      <c r="P62" s="25"/>
    </row>
    <row r="63" spans="3:16" s="17" customFormat="1" ht="15" customHeight="1">
      <c r="C63" s="18"/>
      <c r="D63" s="20" t="s">
        <v>121</v>
      </c>
      <c r="E63" s="26" t="s">
        <v>39</v>
      </c>
      <c r="F63" s="22" t="s">
        <v>122</v>
      </c>
      <c r="G63" s="23">
        <f t="shared" si="0"/>
        <v>4.4076111111111107</v>
      </c>
      <c r="H63" s="23">
        <f>SUM(H64:H66)</f>
        <v>0</v>
      </c>
      <c r="I63" s="23">
        <f>SUM(I64:I66)</f>
        <v>4.4076111111111107</v>
      </c>
      <c r="J63" s="23">
        <f>SUM(J64:J66)</f>
        <v>0</v>
      </c>
      <c r="K63" s="23">
        <f>SUM(K64:K66)</f>
        <v>0</v>
      </c>
      <c r="L63" s="19"/>
      <c r="M63" s="24"/>
      <c r="P63" s="25"/>
    </row>
    <row r="64" spans="3:16" s="17" customFormat="1" ht="12.75" hidden="1" customHeight="1">
      <c r="C64" s="18"/>
      <c r="D64" s="28" t="s">
        <v>123</v>
      </c>
      <c r="E64" s="29"/>
      <c r="F64" s="30" t="s">
        <v>122</v>
      </c>
      <c r="G64" s="31"/>
      <c r="H64" s="31"/>
      <c r="I64" s="31"/>
      <c r="J64" s="31"/>
      <c r="K64" s="31"/>
      <c r="L64" s="19"/>
      <c r="M64" s="24"/>
      <c r="P64" s="25"/>
    </row>
    <row r="65" spans="3:16" s="17" customFormat="1" ht="15" customHeight="1">
      <c r="C65" s="32" t="s">
        <v>30</v>
      </c>
      <c r="D65" s="33" t="s">
        <v>124</v>
      </c>
      <c r="E65" s="34" t="s">
        <v>43</v>
      </c>
      <c r="F65" s="35">
        <v>1461</v>
      </c>
      <c r="G65" s="36">
        <f>SUM(H65:K65)</f>
        <v>4.4076111111111107</v>
      </c>
      <c r="H65" s="37"/>
      <c r="I65" s="37">
        <f>I26/720</f>
        <v>4.4076111111111107</v>
      </c>
      <c r="J65" s="37"/>
      <c r="K65" s="38"/>
      <c r="L65" s="19"/>
      <c r="M65" s="39"/>
      <c r="N65" s="40"/>
      <c r="O65" s="40"/>
    </row>
    <row r="66" spans="3:16" s="17" customFormat="1" ht="15" customHeight="1">
      <c r="C66" s="18"/>
      <c r="D66" s="41"/>
      <c r="E66" s="42" t="s">
        <v>33</v>
      </c>
      <c r="F66" s="43"/>
      <c r="G66" s="43"/>
      <c r="H66" s="43"/>
      <c r="I66" s="43"/>
      <c r="J66" s="43"/>
      <c r="K66" s="44"/>
      <c r="L66" s="19"/>
      <c r="M66" s="24"/>
      <c r="P66" s="25"/>
    </row>
    <row r="67" spans="3:16" s="17" customFormat="1" ht="15" customHeight="1">
      <c r="C67" s="18"/>
      <c r="D67" s="20" t="s">
        <v>125</v>
      </c>
      <c r="E67" s="21" t="s">
        <v>45</v>
      </c>
      <c r="F67" s="22" t="s">
        <v>126</v>
      </c>
      <c r="G67" s="23">
        <f t="shared" si="0"/>
        <v>2.1037027777777775</v>
      </c>
      <c r="H67" s="23">
        <f>H69+H70+H71</f>
        <v>0</v>
      </c>
      <c r="I67" s="23">
        <f>I68+I70+I71</f>
        <v>0</v>
      </c>
      <c r="J67" s="23">
        <f>J68+J69+J71</f>
        <v>1.2464888888888888</v>
      </c>
      <c r="K67" s="23">
        <f>K68+K69+K70</f>
        <v>0.85721388888888883</v>
      </c>
      <c r="L67" s="19"/>
      <c r="M67" s="24"/>
      <c r="P67" s="25"/>
    </row>
    <row r="68" spans="3:16" s="17" customFormat="1" ht="15" customHeight="1">
      <c r="C68" s="18"/>
      <c r="D68" s="20" t="s">
        <v>127</v>
      </c>
      <c r="E68" s="26" t="s">
        <v>17</v>
      </c>
      <c r="F68" s="22" t="s">
        <v>128</v>
      </c>
      <c r="G68" s="23">
        <f t="shared" si="0"/>
        <v>0</v>
      </c>
      <c r="H68" s="46"/>
      <c r="I68" s="27"/>
      <c r="J68" s="27"/>
      <c r="K68" s="27"/>
      <c r="L68" s="19"/>
      <c r="M68" s="24"/>
      <c r="P68" s="25"/>
    </row>
    <row r="69" spans="3:16" s="17" customFormat="1" ht="15" customHeight="1">
      <c r="C69" s="18"/>
      <c r="D69" s="20" t="s">
        <v>129</v>
      </c>
      <c r="E69" s="26" t="s">
        <v>18</v>
      </c>
      <c r="F69" s="22" t="s">
        <v>130</v>
      </c>
      <c r="G69" s="23">
        <f t="shared" si="0"/>
        <v>1.2464888888888888</v>
      </c>
      <c r="H69" s="27"/>
      <c r="I69" s="53"/>
      <c r="J69" s="27">
        <f>J30/720</f>
        <v>1.2464888888888888</v>
      </c>
      <c r="K69" s="27"/>
      <c r="L69" s="19"/>
      <c r="M69" s="24"/>
      <c r="P69" s="25"/>
    </row>
    <row r="70" spans="3:16" s="17" customFormat="1" ht="15" customHeight="1">
      <c r="C70" s="18"/>
      <c r="D70" s="20" t="s">
        <v>131</v>
      </c>
      <c r="E70" s="26" t="s">
        <v>19</v>
      </c>
      <c r="F70" s="22" t="s">
        <v>132</v>
      </c>
      <c r="G70" s="23">
        <f t="shared" si="0"/>
        <v>0.85721388888888883</v>
      </c>
      <c r="H70" s="27"/>
      <c r="I70" s="27"/>
      <c r="J70" s="46"/>
      <c r="K70" s="27">
        <f>K31/720</f>
        <v>0.85721388888888883</v>
      </c>
      <c r="L70" s="19"/>
      <c r="M70" s="24"/>
      <c r="P70" s="25"/>
    </row>
    <row r="71" spans="3:16" s="17" customFormat="1" ht="15" customHeight="1">
      <c r="C71" s="18"/>
      <c r="D71" s="20" t="s">
        <v>133</v>
      </c>
      <c r="E71" s="26" t="s">
        <v>54</v>
      </c>
      <c r="F71" s="22" t="s">
        <v>134</v>
      </c>
      <c r="G71" s="23">
        <f t="shared" si="0"/>
        <v>0</v>
      </c>
      <c r="H71" s="27"/>
      <c r="I71" s="27"/>
      <c r="J71" s="27"/>
      <c r="K71" s="46"/>
      <c r="L71" s="19"/>
      <c r="M71" s="24"/>
      <c r="P71" s="25"/>
    </row>
    <row r="72" spans="3:16" s="17" customFormat="1" ht="15" customHeight="1">
      <c r="C72" s="18"/>
      <c r="D72" s="20" t="s">
        <v>135</v>
      </c>
      <c r="E72" s="47" t="s">
        <v>57</v>
      </c>
      <c r="F72" s="22" t="s">
        <v>136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137</v>
      </c>
      <c r="E73" s="21" t="s">
        <v>60</v>
      </c>
      <c r="F73" s="48" t="s">
        <v>138</v>
      </c>
      <c r="G73" s="23">
        <f t="shared" si="0"/>
        <v>4.3625638888888894</v>
      </c>
      <c r="H73" s="23">
        <f>H74+H76+H79+H83</f>
        <v>0</v>
      </c>
      <c r="I73" s="23">
        <f>I74+I76+I79+I83</f>
        <v>3.1589722222222223</v>
      </c>
      <c r="J73" s="23">
        <f>J74+J76+J79+J83</f>
        <v>0.39479861111111109</v>
      </c>
      <c r="K73" s="23">
        <f>K74+K76+K79+K83</f>
        <v>0.80879305555555558</v>
      </c>
      <c r="L73" s="19"/>
      <c r="M73" s="24"/>
      <c r="P73" s="25"/>
    </row>
    <row r="74" spans="3:16" s="17" customFormat="1" ht="22.5">
      <c r="C74" s="18"/>
      <c r="D74" s="20" t="s">
        <v>139</v>
      </c>
      <c r="E74" s="26" t="s">
        <v>63</v>
      </c>
      <c r="F74" s="22" t="s">
        <v>140</v>
      </c>
      <c r="G74" s="23">
        <f t="shared" si="0"/>
        <v>0</v>
      </c>
      <c r="H74" s="27"/>
      <c r="I74" s="27"/>
      <c r="J74" s="27"/>
      <c r="K74" s="27"/>
      <c r="L74" s="19"/>
      <c r="M74" s="24"/>
      <c r="P74" s="25"/>
    </row>
    <row r="75" spans="3:16" s="17" customFormat="1" ht="15" customHeight="1">
      <c r="C75" s="18"/>
      <c r="D75" s="20" t="s">
        <v>141</v>
      </c>
      <c r="E75" s="49" t="s">
        <v>66</v>
      </c>
      <c r="F75" s="22" t="s">
        <v>142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143</v>
      </c>
      <c r="E76" s="26" t="s">
        <v>69</v>
      </c>
      <c r="F76" s="22" t="s">
        <v>144</v>
      </c>
      <c r="G76" s="23">
        <f t="shared" si="0"/>
        <v>2.240186111111111</v>
      </c>
      <c r="H76" s="27"/>
      <c r="I76" s="27">
        <f>I37/720</f>
        <v>1.0365944444444444</v>
      </c>
      <c r="J76" s="27">
        <f>J37/720</f>
        <v>0.39479861111111109</v>
      </c>
      <c r="K76" s="27">
        <f>K37/720</f>
        <v>0.80879305555555558</v>
      </c>
      <c r="L76" s="19"/>
      <c r="M76" s="24"/>
      <c r="P76" s="25"/>
    </row>
    <row r="77" spans="3:16" s="17" customFormat="1" ht="15" customHeight="1">
      <c r="C77" s="18"/>
      <c r="D77" s="20" t="s">
        <v>145</v>
      </c>
      <c r="E77" s="49" t="s">
        <v>72</v>
      </c>
      <c r="F77" s="22" t="s">
        <v>146</v>
      </c>
      <c r="G77" s="23">
        <f t="shared" si="0"/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>
      <c r="C78" s="18"/>
      <c r="D78" s="20" t="s">
        <v>147</v>
      </c>
      <c r="E78" s="50" t="s">
        <v>66</v>
      </c>
      <c r="F78" s="22" t="s">
        <v>148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>
      <c r="C79" s="18"/>
      <c r="D79" s="20" t="s">
        <v>149</v>
      </c>
      <c r="E79" s="26" t="s">
        <v>77</v>
      </c>
      <c r="F79" s="22" t="s">
        <v>150</v>
      </c>
      <c r="G79" s="23">
        <f t="shared" si="0"/>
        <v>2.1223777777777779</v>
      </c>
      <c r="H79" s="23">
        <f>SUM(H80:H82)</f>
        <v>0</v>
      </c>
      <c r="I79" s="23">
        <f>SUM(I80:I82)</f>
        <v>2.1223777777777779</v>
      </c>
      <c r="J79" s="23">
        <f>SUM(J80:J82)</f>
        <v>0</v>
      </c>
      <c r="K79" s="23">
        <f>SUM(K80:K82)</f>
        <v>0</v>
      </c>
      <c r="L79" s="19"/>
      <c r="M79" s="24"/>
      <c r="P79" s="25"/>
    </row>
    <row r="80" spans="3:16" s="17" customFormat="1" ht="12.75" hidden="1" customHeight="1">
      <c r="C80" s="18"/>
      <c r="D80" s="28" t="s">
        <v>151</v>
      </c>
      <c r="E80" s="29"/>
      <c r="F80" s="30" t="s">
        <v>150</v>
      </c>
      <c r="G80" s="31"/>
      <c r="H80" s="31"/>
      <c r="I80" s="31"/>
      <c r="J80" s="31"/>
      <c r="K80" s="31"/>
      <c r="L80" s="19"/>
      <c r="M80" s="24"/>
      <c r="P80" s="25"/>
    </row>
    <row r="81" spans="3:16" s="17" customFormat="1" ht="15" customHeight="1">
      <c r="C81" s="32" t="s">
        <v>30</v>
      </c>
      <c r="D81" s="33" t="s">
        <v>152</v>
      </c>
      <c r="E81" s="34" t="s">
        <v>81</v>
      </c>
      <c r="F81" s="35">
        <v>1781</v>
      </c>
      <c r="G81" s="36">
        <f>SUM(H81:K81)</f>
        <v>2.1223777777777779</v>
      </c>
      <c r="H81" s="37"/>
      <c r="I81" s="37">
        <f>I42/720</f>
        <v>2.1223777777777779</v>
      </c>
      <c r="J81" s="37"/>
      <c r="K81" s="38"/>
      <c r="L81" s="19"/>
      <c r="M81" s="39"/>
      <c r="N81" s="40"/>
      <c r="O81" s="40"/>
    </row>
    <row r="82" spans="3:16" s="17" customFormat="1" ht="15" customHeight="1">
      <c r="C82" s="18"/>
      <c r="D82" s="41"/>
      <c r="E82" s="42" t="s">
        <v>33</v>
      </c>
      <c r="F82" s="43"/>
      <c r="G82" s="43"/>
      <c r="H82" s="43"/>
      <c r="I82" s="43"/>
      <c r="J82" s="43"/>
      <c r="K82" s="44"/>
      <c r="L82" s="19"/>
      <c r="M82" s="24"/>
      <c r="P82" s="25"/>
    </row>
    <row r="83" spans="3:16" s="17" customFormat="1" ht="15" customHeight="1">
      <c r="C83" s="18"/>
      <c r="D83" s="20" t="s">
        <v>153</v>
      </c>
      <c r="E83" s="52" t="s">
        <v>83</v>
      </c>
      <c r="F83" s="22" t="s">
        <v>154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>
      <c r="C84" s="18"/>
      <c r="D84" s="20" t="s">
        <v>155</v>
      </c>
      <c r="E84" s="21" t="s">
        <v>86</v>
      </c>
      <c r="F84" s="22" t="s">
        <v>156</v>
      </c>
      <c r="G84" s="23">
        <f t="shared" si="0"/>
        <v>2.1037027777777775</v>
      </c>
      <c r="H84" s="27"/>
      <c r="I84" s="27">
        <f>I45/720</f>
        <v>1.2464888888888888</v>
      </c>
      <c r="J84" s="27">
        <f>J45/720</f>
        <v>0.85721388888888883</v>
      </c>
      <c r="K84" s="27"/>
      <c r="L84" s="19"/>
      <c r="M84" s="24"/>
      <c r="P84" s="25"/>
    </row>
    <row r="85" spans="3:16" s="17" customFormat="1" ht="15" customHeight="1">
      <c r="C85" s="18"/>
      <c r="D85" s="20" t="s">
        <v>157</v>
      </c>
      <c r="E85" s="21" t="s">
        <v>89</v>
      </c>
      <c r="F85" s="22" t="s">
        <v>158</v>
      </c>
      <c r="G85" s="23">
        <f t="shared" si="0"/>
        <v>0</v>
      </c>
      <c r="H85" s="27"/>
      <c r="I85" s="27"/>
      <c r="J85" s="27"/>
      <c r="K85" s="27"/>
      <c r="L85" s="19"/>
      <c r="M85" s="24"/>
      <c r="P85" s="25"/>
    </row>
    <row r="86" spans="3:16" s="17" customFormat="1" ht="15" customHeight="1">
      <c r="C86" s="18"/>
      <c r="D86" s="20" t="s">
        <v>159</v>
      </c>
      <c r="E86" s="21" t="s">
        <v>92</v>
      </c>
      <c r="F86" s="22" t="s">
        <v>160</v>
      </c>
      <c r="G86" s="23">
        <f t="shared" si="0"/>
        <v>0</v>
      </c>
      <c r="H86" s="27"/>
      <c r="I86" s="27"/>
      <c r="J86" s="27"/>
      <c r="K86" s="27"/>
      <c r="L86" s="19"/>
      <c r="M86" s="24"/>
      <c r="P86" s="25"/>
    </row>
    <row r="87" spans="3:16" s="17" customFormat="1" ht="15" customHeight="1">
      <c r="C87" s="18"/>
      <c r="D87" s="20" t="s">
        <v>161</v>
      </c>
      <c r="E87" s="21" t="s">
        <v>95</v>
      </c>
      <c r="F87" s="22" t="s">
        <v>162</v>
      </c>
      <c r="G87" s="23">
        <f t="shared" si="0"/>
        <v>5.9197222222222221E-2</v>
      </c>
      <c r="H87" s="27"/>
      <c r="I87" s="27">
        <f>I48/720</f>
        <v>2.15E-3</v>
      </c>
      <c r="J87" s="27">
        <f>J48/720</f>
        <v>8.62638888888889E-3</v>
      </c>
      <c r="K87" s="27">
        <f>K48/720</f>
        <v>4.842083333333333E-2</v>
      </c>
      <c r="L87" s="19"/>
      <c r="M87" s="24"/>
      <c r="P87" s="25"/>
    </row>
    <row r="88" spans="3:16" s="17" customFormat="1" ht="15" customHeight="1">
      <c r="C88" s="18"/>
      <c r="D88" s="20" t="s">
        <v>163</v>
      </c>
      <c r="E88" s="26" t="s">
        <v>164</v>
      </c>
      <c r="F88" s="22" t="s">
        <v>165</v>
      </c>
      <c r="G88" s="23">
        <f t="shared" si="0"/>
        <v>0</v>
      </c>
      <c r="H88" s="27"/>
      <c r="I88" s="27"/>
      <c r="J88" s="27"/>
      <c r="K88" s="27"/>
      <c r="L88" s="19"/>
      <c r="M88" s="24"/>
      <c r="P88" s="25"/>
    </row>
    <row r="89" spans="3:16" s="17" customFormat="1" ht="15" customHeight="1">
      <c r="C89" s="18"/>
      <c r="D89" s="20" t="s">
        <v>166</v>
      </c>
      <c r="E89" s="21" t="s">
        <v>101</v>
      </c>
      <c r="F89" s="22" t="s">
        <v>167</v>
      </c>
      <c r="G89" s="23">
        <f t="shared" si="0"/>
        <v>0.36111111111111105</v>
      </c>
      <c r="H89" s="27"/>
      <c r="I89" s="27">
        <f>I50/720</f>
        <v>6.0220638651454987E-2</v>
      </c>
      <c r="J89" s="27">
        <f>J50/720</f>
        <v>0.13918304477206161</v>
      </c>
      <c r="K89" s="27">
        <f>K50/720</f>
        <v>0.16170742768759444</v>
      </c>
      <c r="L89" s="19"/>
      <c r="M89" s="24"/>
      <c r="P89" s="25"/>
    </row>
    <row r="90" spans="3:16" s="17" customFormat="1" ht="33.75">
      <c r="C90" s="18"/>
      <c r="D90" s="20" t="s">
        <v>168</v>
      </c>
      <c r="E90" s="47" t="s">
        <v>104</v>
      </c>
      <c r="F90" s="22" t="s">
        <v>169</v>
      </c>
      <c r="G90" s="23">
        <f t="shared" si="0"/>
        <v>-0.30191388888888882</v>
      </c>
      <c r="H90" s="23">
        <f>H87-H89</f>
        <v>0</v>
      </c>
      <c r="I90" s="23">
        <f>I87-I89</f>
        <v>-5.8070638651454988E-2</v>
      </c>
      <c r="J90" s="23">
        <f>J87-J89</f>
        <v>-0.13055665588317272</v>
      </c>
      <c r="K90" s="23">
        <f>K87-K89</f>
        <v>-0.11328659435426111</v>
      </c>
      <c r="L90" s="19"/>
      <c r="M90" s="24"/>
      <c r="P90" s="25"/>
    </row>
    <row r="91" spans="3:16" s="17" customFormat="1" ht="15" customHeight="1">
      <c r="C91" s="18"/>
      <c r="D91" s="20" t="s">
        <v>170</v>
      </c>
      <c r="E91" s="21" t="s">
        <v>107</v>
      </c>
      <c r="F91" s="22" t="s">
        <v>171</v>
      </c>
      <c r="G91" s="23">
        <f t="shared" si="0"/>
        <v>0</v>
      </c>
      <c r="H91" s="23">
        <f>(H54+H67+H72)-(H73+H84+H85+H86+H87)</f>
        <v>0</v>
      </c>
      <c r="I91" s="23">
        <f>(I54+I67+I72)-(I73+I84+I85+I86+I87)</f>
        <v>0</v>
      </c>
      <c r="J91" s="23">
        <f>(J54+J67+J72)-(J73+J84+J85+J86+J87)</f>
        <v>0</v>
      </c>
      <c r="K91" s="23">
        <f>(K54+K67+K72)-(K73+K84+K85+K86+K87)</f>
        <v>0</v>
      </c>
      <c r="L91" s="19"/>
      <c r="M91" s="24"/>
      <c r="P91" s="25"/>
    </row>
    <row r="92" spans="3:16" s="17" customFormat="1" ht="15" customHeight="1">
      <c r="C92" s="18"/>
      <c r="D92" s="83" t="s">
        <v>172</v>
      </c>
      <c r="E92" s="84"/>
      <c r="F92" s="84"/>
      <c r="G92" s="84"/>
      <c r="H92" s="84"/>
      <c r="I92" s="84"/>
      <c r="J92" s="84"/>
      <c r="K92" s="85"/>
      <c r="L92" s="19"/>
      <c r="M92" s="24"/>
      <c r="P92" s="45"/>
    </row>
    <row r="93" spans="3:16" s="17" customFormat="1" ht="15" customHeight="1">
      <c r="C93" s="18"/>
      <c r="D93" s="20" t="s">
        <v>173</v>
      </c>
      <c r="E93" s="21" t="s">
        <v>174</v>
      </c>
      <c r="F93" s="22" t="s">
        <v>175</v>
      </c>
      <c r="G93" s="23">
        <f t="shared" si="0"/>
        <v>0</v>
      </c>
      <c r="H93" s="27"/>
      <c r="I93" s="27"/>
      <c r="J93" s="27"/>
      <c r="K93" s="27"/>
      <c r="L93" s="19"/>
      <c r="M93" s="24"/>
      <c r="P93" s="25"/>
    </row>
    <row r="94" spans="3:16" s="17" customFormat="1" ht="15" customHeight="1">
      <c r="C94" s="18"/>
      <c r="D94" s="20" t="s">
        <v>176</v>
      </c>
      <c r="E94" s="21" t="s">
        <v>177</v>
      </c>
      <c r="F94" s="22" t="s">
        <v>178</v>
      </c>
      <c r="G94" s="23">
        <f t="shared" si="0"/>
        <v>10.55</v>
      </c>
      <c r="H94" s="27"/>
      <c r="I94" s="27">
        <v>10.55</v>
      </c>
      <c r="J94" s="27"/>
      <c r="K94" s="27"/>
      <c r="L94" s="19"/>
      <c r="M94" s="24"/>
      <c r="P94" s="25"/>
    </row>
    <row r="95" spans="3:16" s="17" customFormat="1" ht="15" customHeight="1">
      <c r="C95" s="18"/>
      <c r="D95" s="20" t="s">
        <v>179</v>
      </c>
      <c r="E95" s="21" t="s">
        <v>180</v>
      </c>
      <c r="F95" s="22" t="s">
        <v>181</v>
      </c>
      <c r="G95" s="23">
        <f t="shared" si="0"/>
        <v>0</v>
      </c>
      <c r="H95" s="27"/>
      <c r="I95" s="27"/>
      <c r="J95" s="27"/>
      <c r="K95" s="27"/>
      <c r="L95" s="19"/>
      <c r="M95" s="24"/>
      <c r="P95" s="25"/>
    </row>
    <row r="96" spans="3:16" s="17" customFormat="1" ht="15" customHeight="1">
      <c r="C96" s="18"/>
      <c r="D96" s="83" t="s">
        <v>182</v>
      </c>
      <c r="E96" s="84"/>
      <c r="F96" s="84"/>
      <c r="G96" s="84"/>
      <c r="H96" s="84"/>
      <c r="I96" s="84"/>
      <c r="J96" s="84"/>
      <c r="K96" s="85"/>
      <c r="L96" s="19"/>
      <c r="M96" s="24"/>
      <c r="P96" s="45"/>
    </row>
    <row r="97" spans="3:16" s="17" customFormat="1" ht="15" customHeight="1">
      <c r="C97" s="18"/>
      <c r="D97" s="20" t="s">
        <v>183</v>
      </c>
      <c r="E97" s="21" t="s">
        <v>184</v>
      </c>
      <c r="F97" s="22" t="s">
        <v>185</v>
      </c>
      <c r="G97" s="23">
        <f t="shared" si="0"/>
        <v>0</v>
      </c>
      <c r="H97" s="23">
        <f>SUM(H98:H99)</f>
        <v>0</v>
      </c>
      <c r="I97" s="23">
        <f>SUM(I98:I99)</f>
        <v>0</v>
      </c>
      <c r="J97" s="23">
        <f>SUM(J98:J99)</f>
        <v>0</v>
      </c>
      <c r="K97" s="23">
        <f>SUM(K98:K99)</f>
        <v>0</v>
      </c>
      <c r="L97" s="19"/>
      <c r="M97" s="24"/>
      <c r="P97" s="25"/>
    </row>
    <row r="98" spans="3:16" ht="15" customHeight="1">
      <c r="C98" s="6"/>
      <c r="D98" s="54" t="s">
        <v>186</v>
      </c>
      <c r="E98" s="26" t="s">
        <v>187</v>
      </c>
      <c r="F98" s="22" t="s">
        <v>188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/>
    </row>
    <row r="99" spans="3:16" ht="15" customHeight="1">
      <c r="C99" s="6"/>
      <c r="D99" s="54" t="s">
        <v>189</v>
      </c>
      <c r="E99" s="26" t="s">
        <v>190</v>
      </c>
      <c r="F99" s="22" t="s">
        <v>191</v>
      </c>
      <c r="G99" s="23">
        <f t="shared" si="0"/>
        <v>0</v>
      </c>
      <c r="H99" s="56">
        <f>H102</f>
        <v>0</v>
      </c>
      <c r="I99" s="56">
        <f>I102</f>
        <v>0</v>
      </c>
      <c r="J99" s="56">
        <f>J102</f>
        <v>0</v>
      </c>
      <c r="K99" s="56">
        <f>K102</f>
        <v>0</v>
      </c>
      <c r="L99" s="13"/>
      <c r="M99" s="24"/>
      <c r="P99" s="25"/>
    </row>
    <row r="100" spans="3:16" ht="15" customHeight="1">
      <c r="C100" s="6"/>
      <c r="D100" s="54" t="s">
        <v>192</v>
      </c>
      <c r="E100" s="49" t="s">
        <v>193</v>
      </c>
      <c r="F100" s="22" t="s">
        <v>194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/>
    </row>
    <row r="101" spans="3:16" ht="15" customHeight="1">
      <c r="C101" s="6"/>
      <c r="D101" s="54" t="s">
        <v>195</v>
      </c>
      <c r="E101" s="50" t="s">
        <v>196</v>
      </c>
      <c r="F101" s="22" t="s">
        <v>197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5" customHeight="1">
      <c r="C102" s="6"/>
      <c r="D102" s="54" t="s">
        <v>198</v>
      </c>
      <c r="E102" s="49" t="s">
        <v>199</v>
      </c>
      <c r="F102" s="22" t="s">
        <v>200</v>
      </c>
      <c r="G102" s="23">
        <f t="shared" si="0"/>
        <v>0</v>
      </c>
      <c r="H102" s="55"/>
      <c r="I102" s="55"/>
      <c r="J102" s="55"/>
      <c r="K102" s="55"/>
      <c r="L102" s="13"/>
      <c r="M102" s="24"/>
      <c r="P102" s="25"/>
    </row>
    <row r="103" spans="3:16" ht="15" customHeight="1">
      <c r="C103" s="6"/>
      <c r="D103" s="54" t="s">
        <v>201</v>
      </c>
      <c r="E103" s="21" t="s">
        <v>202</v>
      </c>
      <c r="F103" s="22" t="s">
        <v>203</v>
      </c>
      <c r="G103" s="23">
        <f t="shared" si="0"/>
        <v>0</v>
      </c>
      <c r="H103" s="56">
        <f>H104+H120</f>
        <v>0</v>
      </c>
      <c r="I103" s="56">
        <f>I104+I120</f>
        <v>0</v>
      </c>
      <c r="J103" s="56">
        <f>J104+J120</f>
        <v>0</v>
      </c>
      <c r="K103" s="56">
        <f>K104+K120</f>
        <v>0</v>
      </c>
      <c r="L103" s="13"/>
      <c r="M103" s="24"/>
      <c r="P103" s="25"/>
    </row>
    <row r="104" spans="3:16" ht="15" customHeight="1">
      <c r="C104" s="6"/>
      <c r="D104" s="54" t="s">
        <v>204</v>
      </c>
      <c r="E104" s="26" t="s">
        <v>205</v>
      </c>
      <c r="F104" s="22" t="s">
        <v>206</v>
      </c>
      <c r="G104" s="23">
        <f t="shared" si="0"/>
        <v>0</v>
      </c>
      <c r="H104" s="56">
        <f>H105+H106</f>
        <v>0</v>
      </c>
      <c r="I104" s="56">
        <f>I105+I106</f>
        <v>0</v>
      </c>
      <c r="J104" s="56">
        <f>J105+J106</f>
        <v>0</v>
      </c>
      <c r="K104" s="56">
        <f>K105+K106</f>
        <v>0</v>
      </c>
      <c r="L104" s="13"/>
      <c r="M104" s="24"/>
      <c r="P104" s="25"/>
    </row>
    <row r="105" spans="3:16" ht="15" customHeight="1">
      <c r="C105" s="6"/>
      <c r="D105" s="54" t="s">
        <v>207</v>
      </c>
      <c r="E105" s="49" t="s">
        <v>208</v>
      </c>
      <c r="F105" s="22" t="s">
        <v>209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15" customHeight="1">
      <c r="C106" s="6"/>
      <c r="D106" s="54" t="s">
        <v>210</v>
      </c>
      <c r="E106" s="49" t="s">
        <v>211</v>
      </c>
      <c r="F106" s="22" t="s">
        <v>212</v>
      </c>
      <c r="G106" s="23">
        <f t="shared" si="0"/>
        <v>0</v>
      </c>
      <c r="H106" s="56">
        <f>H107+H110+H113+H116+H117+H118+H119</f>
        <v>0</v>
      </c>
      <c r="I106" s="56">
        <f>I107+I110+I113+I116+I117+I118+I119</f>
        <v>0</v>
      </c>
      <c r="J106" s="56">
        <f>J107+J110+J113+J116+J117+J118+J119</f>
        <v>0</v>
      </c>
      <c r="K106" s="56">
        <f>K107+K110+K113+K116+K117+K118+K119</f>
        <v>0</v>
      </c>
      <c r="L106" s="13"/>
      <c r="M106" s="24"/>
      <c r="P106" s="25"/>
    </row>
    <row r="107" spans="3:16" ht="45">
      <c r="C107" s="6"/>
      <c r="D107" s="54" t="s">
        <v>213</v>
      </c>
      <c r="E107" s="50" t="s">
        <v>214</v>
      </c>
      <c r="F107" s="22" t="s">
        <v>215</v>
      </c>
      <c r="G107" s="23">
        <f t="shared" si="0"/>
        <v>0</v>
      </c>
      <c r="H107" s="57">
        <f>H108+H109</f>
        <v>0</v>
      </c>
      <c r="I107" s="57">
        <f>I108+I109</f>
        <v>0</v>
      </c>
      <c r="J107" s="57">
        <f>J108+J109</f>
        <v>0</v>
      </c>
      <c r="K107" s="57">
        <f>K108+K109</f>
        <v>0</v>
      </c>
      <c r="L107" s="13"/>
      <c r="M107" s="24"/>
      <c r="P107" s="25"/>
    </row>
    <row r="108" spans="3:16" ht="15" customHeight="1">
      <c r="C108" s="6"/>
      <c r="D108" s="54" t="s">
        <v>216</v>
      </c>
      <c r="E108" s="58" t="s">
        <v>217</v>
      </c>
      <c r="F108" s="22" t="s">
        <v>218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15" customHeight="1">
      <c r="C109" s="6"/>
      <c r="D109" s="54" t="s">
        <v>219</v>
      </c>
      <c r="E109" s="58" t="s">
        <v>220</v>
      </c>
      <c r="F109" s="22" t="s">
        <v>221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45">
      <c r="C110" s="6"/>
      <c r="D110" s="54" t="s">
        <v>222</v>
      </c>
      <c r="E110" s="50" t="s">
        <v>223</v>
      </c>
      <c r="F110" s="22" t="s">
        <v>224</v>
      </c>
      <c r="G110" s="23">
        <f t="shared" si="0"/>
        <v>0</v>
      </c>
      <c r="H110" s="57">
        <f>H111+H112</f>
        <v>0</v>
      </c>
      <c r="I110" s="57">
        <f>I111+I112</f>
        <v>0</v>
      </c>
      <c r="J110" s="57">
        <f>J111+J112</f>
        <v>0</v>
      </c>
      <c r="K110" s="57">
        <f>K111+K112</f>
        <v>0</v>
      </c>
      <c r="L110" s="13"/>
      <c r="M110" s="24"/>
      <c r="P110" s="25"/>
    </row>
    <row r="111" spans="3:16" ht="15" customHeight="1">
      <c r="C111" s="6"/>
      <c r="D111" s="54" t="s">
        <v>225</v>
      </c>
      <c r="E111" s="58" t="s">
        <v>217</v>
      </c>
      <c r="F111" s="22" t="s">
        <v>226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>
      <c r="C112" s="6"/>
      <c r="D112" s="54" t="s">
        <v>227</v>
      </c>
      <c r="E112" s="58" t="s">
        <v>220</v>
      </c>
      <c r="F112" s="22" t="s">
        <v>228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229</v>
      </c>
      <c r="E113" s="50" t="s">
        <v>230</v>
      </c>
      <c r="F113" s="22" t="s">
        <v>231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>
      <c r="C114" s="6"/>
      <c r="D114" s="54" t="s">
        <v>232</v>
      </c>
      <c r="E114" s="58" t="s">
        <v>217</v>
      </c>
      <c r="F114" s="22" t="s">
        <v>233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234</v>
      </c>
      <c r="E115" s="58" t="s">
        <v>220</v>
      </c>
      <c r="F115" s="22" t="s">
        <v>235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5" customHeight="1">
      <c r="C116" s="6"/>
      <c r="D116" s="54" t="s">
        <v>236</v>
      </c>
      <c r="E116" s="50" t="s">
        <v>237</v>
      </c>
      <c r="F116" s="22" t="s">
        <v>238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5" customHeight="1">
      <c r="C117" s="6"/>
      <c r="D117" s="54" t="s">
        <v>239</v>
      </c>
      <c r="E117" s="50" t="s">
        <v>240</v>
      </c>
      <c r="F117" s="22" t="s">
        <v>241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9.5" customHeight="1">
      <c r="C118" s="6"/>
      <c r="D118" s="54" t="s">
        <v>242</v>
      </c>
      <c r="E118" s="50" t="s">
        <v>243</v>
      </c>
      <c r="F118" s="22" t="s">
        <v>244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3.5" customHeight="1">
      <c r="C119" s="6"/>
      <c r="D119" s="54" t="s">
        <v>245</v>
      </c>
      <c r="E119" s="50" t="s">
        <v>246</v>
      </c>
      <c r="F119" s="22" t="s">
        <v>247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248</v>
      </c>
      <c r="E120" s="26" t="s">
        <v>249</v>
      </c>
      <c r="F120" s="22" t="s">
        <v>250</v>
      </c>
      <c r="G120" s="23">
        <f t="shared" si="0"/>
        <v>0</v>
      </c>
      <c r="H120" s="56">
        <f>H123</f>
        <v>0</v>
      </c>
      <c r="I120" s="56">
        <f>I123</f>
        <v>0</v>
      </c>
      <c r="J120" s="56">
        <f>J123</f>
        <v>0</v>
      </c>
      <c r="K120" s="56">
        <f>K123</f>
        <v>0</v>
      </c>
      <c r="L120" s="13"/>
      <c r="M120" s="24"/>
      <c r="P120" s="25"/>
    </row>
    <row r="121" spans="3:16" ht="15" customHeight="1">
      <c r="C121" s="6"/>
      <c r="D121" s="54" t="s">
        <v>251</v>
      </c>
      <c r="E121" s="49" t="s">
        <v>193</v>
      </c>
      <c r="F121" s="22" t="s">
        <v>252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5" customHeight="1">
      <c r="C122" s="6"/>
      <c r="D122" s="54" t="s">
        <v>253</v>
      </c>
      <c r="E122" s="50" t="s">
        <v>254</v>
      </c>
      <c r="F122" s="22" t="s">
        <v>255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>
      <c r="C123" s="6"/>
      <c r="D123" s="54" t="s">
        <v>256</v>
      </c>
      <c r="E123" s="49" t="s">
        <v>199</v>
      </c>
      <c r="F123" s="22" t="s">
        <v>257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27" customHeight="1">
      <c r="C124" s="6"/>
      <c r="D124" s="54" t="s">
        <v>258</v>
      </c>
      <c r="E124" s="47" t="s">
        <v>259</v>
      </c>
      <c r="F124" s="22" t="s">
        <v>260</v>
      </c>
      <c r="G124" s="23">
        <f t="shared" si="0"/>
        <v>3141.0460000000003</v>
      </c>
      <c r="H124" s="56">
        <f>SUM(H125:H126)</f>
        <v>0</v>
      </c>
      <c r="I124" s="56">
        <f>SUM(I125:I126)</f>
        <v>2274.46</v>
      </c>
      <c r="J124" s="56">
        <f>SUM(J125:J126)</f>
        <v>284.255</v>
      </c>
      <c r="K124" s="56">
        <f>SUM(K125:K126)</f>
        <v>582.33100000000002</v>
      </c>
      <c r="L124" s="13"/>
      <c r="M124" s="24"/>
      <c r="P124" s="25"/>
    </row>
    <row r="125" spans="3:16" ht="15" customHeight="1">
      <c r="C125" s="6"/>
      <c r="D125" s="54" t="s">
        <v>261</v>
      </c>
      <c r="E125" s="26" t="s">
        <v>187</v>
      </c>
      <c r="F125" s="22" t="s">
        <v>262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>
      <c r="C126" s="6"/>
      <c r="D126" s="54" t="s">
        <v>263</v>
      </c>
      <c r="E126" s="26" t="s">
        <v>190</v>
      </c>
      <c r="F126" s="22" t="s">
        <v>264</v>
      </c>
      <c r="G126" s="23">
        <f t="shared" si="0"/>
        <v>3141.0460000000003</v>
      </c>
      <c r="H126" s="56">
        <f>H128</f>
        <v>0</v>
      </c>
      <c r="I126" s="56">
        <f>I128</f>
        <v>2274.46</v>
      </c>
      <c r="J126" s="56">
        <f>J128</f>
        <v>284.255</v>
      </c>
      <c r="K126" s="56">
        <f>K128</f>
        <v>582.33100000000002</v>
      </c>
      <c r="L126" s="13"/>
      <c r="M126" s="24"/>
      <c r="P126" s="25"/>
    </row>
    <row r="127" spans="3:16" ht="15" customHeight="1">
      <c r="C127" s="6"/>
      <c r="D127" s="54" t="s">
        <v>265</v>
      </c>
      <c r="E127" s="49" t="s">
        <v>266</v>
      </c>
      <c r="F127" s="22" t="s">
        <v>267</v>
      </c>
      <c r="G127" s="23">
        <f t="shared" si="0"/>
        <v>10.55</v>
      </c>
      <c r="H127" s="55"/>
      <c r="I127" s="55">
        <v>10.55</v>
      </c>
      <c r="J127" s="55"/>
      <c r="K127" s="55"/>
      <c r="L127" s="13"/>
      <c r="M127" s="24"/>
      <c r="P127" s="25"/>
    </row>
    <row r="128" spans="3:16" ht="15" customHeight="1">
      <c r="C128" s="6"/>
      <c r="D128" s="54" t="s">
        <v>268</v>
      </c>
      <c r="E128" s="49" t="s">
        <v>199</v>
      </c>
      <c r="F128" s="22" t="s">
        <v>269</v>
      </c>
      <c r="G128" s="23">
        <f t="shared" si="0"/>
        <v>3141.0460000000003</v>
      </c>
      <c r="H128" s="55"/>
      <c r="I128" s="55">
        <f>I34</f>
        <v>2274.46</v>
      </c>
      <c r="J128" s="55">
        <f>J34</f>
        <v>284.255</v>
      </c>
      <c r="K128" s="55">
        <f>K34</f>
        <v>582.33100000000002</v>
      </c>
      <c r="L128" s="13"/>
      <c r="M128" s="24"/>
      <c r="P128" s="25"/>
    </row>
    <row r="129" spans="3:16" ht="15" customHeight="1">
      <c r="C129" s="6"/>
      <c r="D129" s="83" t="s">
        <v>270</v>
      </c>
      <c r="E129" s="84"/>
      <c r="F129" s="84"/>
      <c r="G129" s="84"/>
      <c r="H129" s="84"/>
      <c r="I129" s="84"/>
      <c r="J129" s="84"/>
      <c r="K129" s="85"/>
      <c r="L129" s="13"/>
      <c r="M129" s="24"/>
      <c r="P129" s="59"/>
    </row>
    <row r="130" spans="3:16" ht="22.5">
      <c r="C130" s="6"/>
      <c r="D130" s="54" t="s">
        <v>271</v>
      </c>
      <c r="E130" s="21" t="s">
        <v>272</v>
      </c>
      <c r="F130" s="22" t="s">
        <v>273</v>
      </c>
      <c r="G130" s="23">
        <f t="shared" si="0"/>
        <v>0</v>
      </c>
      <c r="H130" s="56">
        <f>SUM( H131:H132)</f>
        <v>0</v>
      </c>
      <c r="I130" s="56">
        <f>SUM( I131:I132)</f>
        <v>0</v>
      </c>
      <c r="J130" s="56">
        <f>SUM( J131:J132)</f>
        <v>0</v>
      </c>
      <c r="K130" s="56">
        <f>SUM( K131:K132)</f>
        <v>0</v>
      </c>
      <c r="L130" s="13"/>
      <c r="M130" s="24"/>
      <c r="P130" s="25"/>
    </row>
    <row r="131" spans="3:16" ht="15" customHeight="1">
      <c r="C131" s="6"/>
      <c r="D131" s="54" t="s">
        <v>274</v>
      </c>
      <c r="E131" s="26" t="s">
        <v>187</v>
      </c>
      <c r="F131" s="22" t="s">
        <v>275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>
      <c r="C132" s="6"/>
      <c r="D132" s="54" t="s">
        <v>276</v>
      </c>
      <c r="E132" s="26" t="s">
        <v>190</v>
      </c>
      <c r="F132" s="22" t="s">
        <v>277</v>
      </c>
      <c r="G132" s="23">
        <f t="shared" si="0"/>
        <v>0</v>
      </c>
      <c r="H132" s="56">
        <f>H133+H135</f>
        <v>0</v>
      </c>
      <c r="I132" s="56">
        <f>I133+I135</f>
        <v>0</v>
      </c>
      <c r="J132" s="56">
        <f>J133+J135</f>
        <v>0</v>
      </c>
      <c r="K132" s="56">
        <f>K133+K135</f>
        <v>0</v>
      </c>
      <c r="L132" s="13"/>
      <c r="M132" s="24"/>
      <c r="P132" s="25"/>
    </row>
    <row r="133" spans="3:16" ht="15" customHeight="1">
      <c r="C133" s="6"/>
      <c r="D133" s="54" t="s">
        <v>278</v>
      </c>
      <c r="E133" s="49" t="s">
        <v>279</v>
      </c>
      <c r="F133" s="22" t="s">
        <v>280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>
      <c r="C134" s="6"/>
      <c r="D134" s="54" t="s">
        <v>281</v>
      </c>
      <c r="E134" s="50" t="s">
        <v>282</v>
      </c>
      <c r="F134" s="22" t="s">
        <v>283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59"/>
    </row>
    <row r="135" spans="3:16" ht="15" customHeight="1">
      <c r="C135" s="6"/>
      <c r="D135" s="54" t="s">
        <v>284</v>
      </c>
      <c r="E135" s="49" t="s">
        <v>285</v>
      </c>
      <c r="F135" s="22" t="s">
        <v>286</v>
      </c>
      <c r="G135" s="23">
        <f t="shared" si="0"/>
        <v>0</v>
      </c>
      <c r="H135" s="55"/>
      <c r="I135" s="55"/>
      <c r="J135" s="55"/>
      <c r="K135" s="55"/>
      <c r="L135" s="13"/>
      <c r="M135" s="24"/>
      <c r="P135" s="25"/>
    </row>
    <row r="136" spans="3:16" ht="15" customHeight="1">
      <c r="C136" s="6"/>
      <c r="D136" s="54" t="s">
        <v>29</v>
      </c>
      <c r="E136" s="21" t="s">
        <v>287</v>
      </c>
      <c r="F136" s="22" t="s">
        <v>288</v>
      </c>
      <c r="G136" s="23">
        <f t="shared" si="0"/>
        <v>0</v>
      </c>
      <c r="H136" s="57">
        <f>SUM( H137+H142)</f>
        <v>0</v>
      </c>
      <c r="I136" s="57">
        <f>SUM( I137+I142)</f>
        <v>0</v>
      </c>
      <c r="J136" s="57">
        <f>SUM( J137+J142)</f>
        <v>0</v>
      </c>
      <c r="K136" s="57">
        <f>SUM( K137+K142)</f>
        <v>0</v>
      </c>
      <c r="L136" s="60"/>
      <c r="M136" s="24"/>
      <c r="P136" s="25"/>
    </row>
    <row r="137" spans="3:16" ht="15" customHeight="1">
      <c r="C137" s="6"/>
      <c r="D137" s="54" t="s">
        <v>289</v>
      </c>
      <c r="E137" s="26" t="s">
        <v>187</v>
      </c>
      <c r="F137" s="22" t="s">
        <v>290</v>
      </c>
      <c r="G137" s="23">
        <f t="shared" ref="G137:G150" si="1">SUM(H137:K137)</f>
        <v>0</v>
      </c>
      <c r="H137" s="57">
        <f>SUM( H138:H139)</f>
        <v>0</v>
      </c>
      <c r="I137" s="57">
        <f>SUM( I138:I139)</f>
        <v>0</v>
      </c>
      <c r="J137" s="57">
        <f>SUM( J138:J139)</f>
        <v>0</v>
      </c>
      <c r="K137" s="57">
        <f>SUM( K138:K139)</f>
        <v>0</v>
      </c>
      <c r="L137" s="60"/>
      <c r="M137" s="24"/>
      <c r="P137" s="25"/>
    </row>
    <row r="138" spans="3:16" ht="15" customHeight="1">
      <c r="C138" s="6"/>
      <c r="D138" s="54" t="s">
        <v>291</v>
      </c>
      <c r="E138" s="49" t="s">
        <v>208</v>
      </c>
      <c r="F138" s="22" t="s">
        <v>292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293</v>
      </c>
      <c r="E139" s="49" t="s">
        <v>211</v>
      </c>
      <c r="F139" s="22" t="s">
        <v>294</v>
      </c>
      <c r="G139" s="23">
        <f t="shared" si="1"/>
        <v>0</v>
      </c>
      <c r="H139" s="57">
        <f>H140+H141</f>
        <v>0</v>
      </c>
      <c r="I139" s="57">
        <f>I140+I141</f>
        <v>0</v>
      </c>
      <c r="J139" s="57">
        <f>J140+J141</f>
        <v>0</v>
      </c>
      <c r="K139" s="57">
        <f>K140+K141</f>
        <v>0</v>
      </c>
      <c r="L139" s="60"/>
      <c r="M139" s="24"/>
      <c r="P139" s="25"/>
    </row>
    <row r="140" spans="3:16" ht="15" customHeight="1">
      <c r="C140" s="6"/>
      <c r="D140" s="54" t="s">
        <v>295</v>
      </c>
      <c r="E140" s="50" t="s">
        <v>217</v>
      </c>
      <c r="F140" s="22" t="s">
        <v>296</v>
      </c>
      <c r="G140" s="23">
        <f t="shared" si="1"/>
        <v>0</v>
      </c>
      <c r="H140" s="61"/>
      <c r="I140" s="61"/>
      <c r="J140" s="61"/>
      <c r="K140" s="61"/>
      <c r="L140" s="60"/>
      <c r="M140" s="24"/>
      <c r="P140" s="25"/>
    </row>
    <row r="141" spans="3:16" ht="15" customHeight="1">
      <c r="C141" s="6"/>
      <c r="D141" s="54" t="s">
        <v>297</v>
      </c>
      <c r="E141" s="50" t="s">
        <v>298</v>
      </c>
      <c r="F141" s="22" t="s">
        <v>299</v>
      </c>
      <c r="G141" s="23">
        <f t="shared" si="1"/>
        <v>0</v>
      </c>
      <c r="H141" s="61"/>
      <c r="I141" s="61"/>
      <c r="J141" s="61"/>
      <c r="K141" s="61"/>
      <c r="L141" s="60"/>
      <c r="M141" s="24"/>
      <c r="P141" s="25"/>
    </row>
    <row r="142" spans="3:16" ht="15" customHeight="1">
      <c r="C142" s="6"/>
      <c r="D142" s="54" t="s">
        <v>300</v>
      </c>
      <c r="E142" s="26" t="s">
        <v>249</v>
      </c>
      <c r="F142" s="22" t="s">
        <v>301</v>
      </c>
      <c r="G142" s="23">
        <f t="shared" si="1"/>
        <v>0</v>
      </c>
      <c r="H142" s="57">
        <f>H143+H145</f>
        <v>0</v>
      </c>
      <c r="I142" s="57">
        <f>I143+I145</f>
        <v>0</v>
      </c>
      <c r="J142" s="57">
        <f>J143+J145</f>
        <v>0</v>
      </c>
      <c r="K142" s="57">
        <f>K143+K145</f>
        <v>0</v>
      </c>
      <c r="L142" s="60"/>
      <c r="M142" s="24"/>
      <c r="P142" s="25"/>
    </row>
    <row r="143" spans="3:16" ht="15" customHeight="1">
      <c r="C143" s="6"/>
      <c r="D143" s="54" t="s">
        <v>302</v>
      </c>
      <c r="E143" s="49" t="s">
        <v>279</v>
      </c>
      <c r="F143" s="22" t="s">
        <v>303</v>
      </c>
      <c r="G143" s="23">
        <f t="shared" si="1"/>
        <v>0</v>
      </c>
      <c r="H143" s="55"/>
      <c r="I143" s="55"/>
      <c r="J143" s="55"/>
      <c r="K143" s="55"/>
      <c r="L143" s="60"/>
      <c r="M143" s="24"/>
      <c r="P143" s="25"/>
    </row>
    <row r="144" spans="3:16" ht="15" customHeight="1">
      <c r="C144" s="6"/>
      <c r="D144" s="54" t="s">
        <v>304</v>
      </c>
      <c r="E144" s="50" t="s">
        <v>282</v>
      </c>
      <c r="F144" s="22" t="s">
        <v>305</v>
      </c>
      <c r="G144" s="23">
        <f t="shared" si="1"/>
        <v>0</v>
      </c>
      <c r="H144" s="55"/>
      <c r="I144" s="55"/>
      <c r="J144" s="55"/>
      <c r="K144" s="55"/>
      <c r="L144" s="60"/>
      <c r="M144" s="24"/>
      <c r="P144" s="25"/>
    </row>
    <row r="145" spans="3:19" ht="15" customHeight="1">
      <c r="C145" s="6"/>
      <c r="D145" s="54" t="s">
        <v>306</v>
      </c>
      <c r="E145" s="49" t="s">
        <v>285</v>
      </c>
      <c r="F145" s="22" t="s">
        <v>307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/>
    </row>
    <row r="146" spans="3:19" ht="28.5" customHeight="1">
      <c r="C146" s="6"/>
      <c r="D146" s="54" t="s">
        <v>308</v>
      </c>
      <c r="E146" s="21" t="s">
        <v>309</v>
      </c>
      <c r="F146" s="22" t="s">
        <v>310</v>
      </c>
      <c r="G146" s="23">
        <f t="shared" si="1"/>
        <v>2344.2442644200005</v>
      </c>
      <c r="H146" s="63">
        <f>SUM( H147:H148)</f>
        <v>0</v>
      </c>
      <c r="I146" s="63">
        <f>SUM( I147:I148)</f>
        <v>2201.3095695800002</v>
      </c>
      <c r="J146" s="63">
        <f>SUM( J147:J148)</f>
        <v>46.885019699999994</v>
      </c>
      <c r="K146" s="63">
        <f>SUM( K147:K148)</f>
        <v>96.049675140000005</v>
      </c>
      <c r="L146" s="60"/>
      <c r="M146" s="24"/>
      <c r="P146" s="25"/>
    </row>
    <row r="147" spans="3:19" ht="15" customHeight="1">
      <c r="C147" s="6"/>
      <c r="D147" s="54" t="s">
        <v>311</v>
      </c>
      <c r="E147" s="26" t="s">
        <v>187</v>
      </c>
      <c r="F147" s="22" t="s">
        <v>312</v>
      </c>
      <c r="G147" s="23">
        <f t="shared" si="1"/>
        <v>0</v>
      </c>
      <c r="H147" s="62"/>
      <c r="I147" s="62"/>
      <c r="J147" s="62"/>
      <c r="K147" s="62"/>
      <c r="L147" s="60"/>
      <c r="M147" s="24"/>
      <c r="P147" s="25"/>
    </row>
    <row r="148" spans="3:19" ht="15" customHeight="1">
      <c r="C148" s="6"/>
      <c r="D148" s="54" t="s">
        <v>313</v>
      </c>
      <c r="E148" s="26" t="s">
        <v>190</v>
      </c>
      <c r="F148" s="22" t="s">
        <v>314</v>
      </c>
      <c r="G148" s="23">
        <f t="shared" si="1"/>
        <v>2344.2442644200005</v>
      </c>
      <c r="H148" s="63">
        <f>H149+H150</f>
        <v>0</v>
      </c>
      <c r="I148" s="63">
        <f>I149+I150</f>
        <v>2201.3095695800002</v>
      </c>
      <c r="J148" s="63">
        <f>J149+J150</f>
        <v>46.885019699999994</v>
      </c>
      <c r="K148" s="63">
        <f>K149+K150</f>
        <v>96.049675140000005</v>
      </c>
      <c r="L148" s="60"/>
      <c r="M148" s="24"/>
      <c r="P148" s="25"/>
    </row>
    <row r="149" spans="3:19" ht="15" customHeight="1">
      <c r="C149" s="6"/>
      <c r="D149" s="54" t="s">
        <v>315</v>
      </c>
      <c r="E149" s="49" t="s">
        <v>316</v>
      </c>
      <c r="F149" s="22" t="s">
        <v>317</v>
      </c>
      <c r="G149" s="23">
        <f t="shared" si="1"/>
        <v>1819.1300645000003</v>
      </c>
      <c r="H149" s="62"/>
      <c r="I149" s="62">
        <f>I127*172429.39/1000</f>
        <v>1819.1300645000003</v>
      </c>
      <c r="J149" s="62"/>
      <c r="K149" s="62"/>
      <c r="L149" s="60"/>
      <c r="M149" s="24"/>
      <c r="P149" s="25"/>
    </row>
    <row r="150" spans="3:19" ht="15" customHeight="1">
      <c r="C150" s="6"/>
      <c r="D150" s="54" t="s">
        <v>319</v>
      </c>
      <c r="E150" s="49" t="s">
        <v>285</v>
      </c>
      <c r="F150" s="22" t="s">
        <v>320</v>
      </c>
      <c r="G150" s="23">
        <f t="shared" si="1"/>
        <v>525.11419991999992</v>
      </c>
      <c r="H150" s="62"/>
      <c r="I150" s="62">
        <f>(I34+G48)*164.94/1000</f>
        <v>382.17950507999996</v>
      </c>
      <c r="J150" s="62">
        <f>J34*164.94/1000</f>
        <v>46.885019699999994</v>
      </c>
      <c r="K150" s="62">
        <f>K34*164.94/1000</f>
        <v>96.049675140000005</v>
      </c>
      <c r="L150" s="60"/>
      <c r="M150" s="24"/>
      <c r="P150" s="25"/>
    </row>
    <row r="151" spans="3:19">
      <c r="D151" s="11"/>
      <c r="E151" s="64"/>
      <c r="F151" s="64"/>
      <c r="G151" s="64"/>
      <c r="H151" s="64"/>
      <c r="I151" s="64"/>
      <c r="J151" s="64"/>
      <c r="K151" s="65"/>
      <c r="L151" s="65"/>
      <c r="M151" s="65"/>
      <c r="N151" s="65"/>
      <c r="O151" s="65"/>
      <c r="P151" s="65"/>
      <c r="Q151" s="65"/>
      <c r="R151" s="66"/>
      <c r="S151" s="66"/>
    </row>
    <row r="152" spans="3:19" ht="12.75">
      <c r="E152" s="24" t="s">
        <v>322</v>
      </c>
      <c r="F152" s="76" t="str">
        <f>IF([11]Титульный!G45="","",[11]Титульный!G45)</f>
        <v>экономист</v>
      </c>
      <c r="G152" s="76"/>
      <c r="H152" s="67"/>
      <c r="I152" s="76" t="str">
        <f>IF([11]Титульный!G44="","",[11]Титульный!G44)</f>
        <v>Гизикова А.Н.</v>
      </c>
      <c r="J152" s="76"/>
      <c r="K152" s="76"/>
      <c r="L152" s="67"/>
      <c r="M152" s="68"/>
      <c r="N152" s="68"/>
      <c r="O152" s="69"/>
      <c r="P152" s="65"/>
      <c r="Q152" s="65"/>
      <c r="R152" s="66"/>
      <c r="S152" s="66"/>
    </row>
    <row r="153" spans="3:19" ht="12.75">
      <c r="E153" s="70" t="s">
        <v>323</v>
      </c>
      <c r="F153" s="86" t="s">
        <v>324</v>
      </c>
      <c r="G153" s="86"/>
      <c r="H153" s="69"/>
      <c r="I153" s="86" t="s">
        <v>325</v>
      </c>
      <c r="J153" s="86"/>
      <c r="K153" s="86"/>
      <c r="L153" s="69"/>
      <c r="M153" s="86" t="s">
        <v>326</v>
      </c>
      <c r="N153" s="86"/>
      <c r="O153" s="24"/>
      <c r="P153" s="65"/>
      <c r="Q153" s="65"/>
      <c r="R153" s="66"/>
      <c r="S153" s="66"/>
    </row>
    <row r="154" spans="3:19" ht="12.75">
      <c r="E154" s="70" t="s">
        <v>327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65"/>
      <c r="Q154" s="65"/>
      <c r="R154" s="66"/>
      <c r="S154" s="66"/>
    </row>
    <row r="155" spans="3:19" ht="12.75">
      <c r="E155" s="70" t="s">
        <v>328</v>
      </c>
      <c r="F155" s="76" t="str">
        <f>IF([11]Титульный!G46="","",[11]Титульный!G46)</f>
        <v>(861) 258-50-71</v>
      </c>
      <c r="G155" s="76"/>
      <c r="H155" s="76"/>
      <c r="I155" s="24"/>
      <c r="J155" s="70" t="s">
        <v>329</v>
      </c>
      <c r="K155" s="71"/>
      <c r="L155" s="24"/>
      <c r="M155" s="24"/>
      <c r="N155" s="24"/>
      <c r="O155" s="24"/>
      <c r="P155" s="65"/>
      <c r="Q155" s="65"/>
      <c r="R155" s="66"/>
      <c r="S155" s="66"/>
    </row>
    <row r="156" spans="3:19" ht="12.75">
      <c r="E156" s="24" t="s">
        <v>330</v>
      </c>
      <c r="F156" s="87" t="s">
        <v>331</v>
      </c>
      <c r="G156" s="87"/>
      <c r="H156" s="87"/>
      <c r="I156" s="24"/>
      <c r="J156" s="72" t="s">
        <v>332</v>
      </c>
      <c r="K156" s="72"/>
      <c r="L156" s="24"/>
      <c r="M156" s="24"/>
      <c r="N156" s="24"/>
      <c r="O156" s="24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  <row r="184" spans="5:19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</row>
    <row r="185" spans="5:19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19 E58 E65 E81"/>
    <dataValidation type="decimal" allowBlank="1" showErrorMessage="1" errorTitle="Ошибка" error="Допускается ввод только действительных чисел!" sqref="G24:K26 G93:K95 G15:K19 G54:K58 G83:K91 G97:K128 G63:K65 G44:K52 G28:K42 G130:K150 G60:K61 G21:K22 G67:K81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tabColor indexed="31"/>
  </sheetPr>
  <dimension ref="A1:CC183"/>
  <sheetViews>
    <sheetView topLeftCell="C7" workbookViewId="0">
      <selection activeCell="M17" sqref="M17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343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5193.1120000000001</v>
      </c>
      <c r="H15" s="23">
        <f>H16+H17+H20+H23</f>
        <v>0</v>
      </c>
      <c r="I15" s="23">
        <f>I16+I17+I20+I23</f>
        <v>5193.1120000000001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4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18"/>
      <c r="D19" s="41"/>
      <c r="E19" s="42" t="s">
        <v>33</v>
      </c>
      <c r="F19" s="43"/>
      <c r="G19" s="43"/>
      <c r="H19" s="43"/>
      <c r="I19" s="43"/>
      <c r="J19" s="43"/>
      <c r="K19" s="44"/>
      <c r="L19" s="19"/>
      <c r="M19" s="24"/>
      <c r="P19" s="45"/>
    </row>
    <row r="20" spans="3:16" s="17" customFormat="1" ht="15" customHeight="1">
      <c r="C20" s="18"/>
      <c r="D20" s="20" t="s">
        <v>34</v>
      </c>
      <c r="E20" s="26" t="s">
        <v>35</v>
      </c>
      <c r="F20" s="22" t="s">
        <v>36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45"/>
    </row>
    <row r="21" spans="3:16" s="17" customFormat="1" ht="12.75" hidden="1">
      <c r="C21" s="18"/>
      <c r="D21" s="28" t="s">
        <v>37</v>
      </c>
      <c r="E21" s="29"/>
      <c r="F21" s="30" t="s">
        <v>36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5" customHeight="1">
      <c r="C22" s="18"/>
      <c r="D22" s="41"/>
      <c r="E22" s="42" t="s">
        <v>33</v>
      </c>
      <c r="F22" s="43"/>
      <c r="G22" s="43"/>
      <c r="H22" s="43"/>
      <c r="I22" s="43"/>
      <c r="J22" s="43"/>
      <c r="K22" s="44"/>
      <c r="L22" s="19"/>
      <c r="M22" s="24"/>
      <c r="P22" s="45"/>
    </row>
    <row r="23" spans="3:16" s="17" customFormat="1" ht="15" customHeight="1">
      <c r="C23" s="18"/>
      <c r="D23" s="20" t="s">
        <v>38</v>
      </c>
      <c r="E23" s="26" t="s">
        <v>39</v>
      </c>
      <c r="F23" s="22" t="s">
        <v>40</v>
      </c>
      <c r="G23" s="23">
        <f t="shared" si="0"/>
        <v>5193.1120000000001</v>
      </c>
      <c r="H23" s="23">
        <f>SUM(H24:H26)</f>
        <v>0</v>
      </c>
      <c r="I23" s="23">
        <f>SUM(I24:I26)</f>
        <v>5193.1120000000001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hidden="1">
      <c r="C24" s="18"/>
      <c r="D24" s="28" t="s">
        <v>41</v>
      </c>
      <c r="E24" s="29"/>
      <c r="F24" s="30" t="s">
        <v>40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customHeight="1">
      <c r="C25" s="32" t="s">
        <v>30</v>
      </c>
      <c r="D25" s="33" t="s">
        <v>42</v>
      </c>
      <c r="E25" s="34" t="s">
        <v>43</v>
      </c>
      <c r="F25" s="35">
        <v>431</v>
      </c>
      <c r="G25" s="36">
        <f>SUM(H25:K25)</f>
        <v>5193.1120000000001</v>
      </c>
      <c r="H25" s="37"/>
      <c r="I25" s="37">
        <f>5193112/1000</f>
        <v>5193.1120000000001</v>
      </c>
      <c r="J25" s="37"/>
      <c r="K25" s="38"/>
      <c r="L25" s="19"/>
      <c r="M25" s="39"/>
      <c r="N25" s="40"/>
      <c r="O25" s="40"/>
    </row>
    <row r="26" spans="3:16" s="17" customFormat="1" ht="15" customHeight="1">
      <c r="C26" s="18"/>
      <c r="D26" s="41"/>
      <c r="E26" s="42" t="s">
        <v>33</v>
      </c>
      <c r="F26" s="43"/>
      <c r="G26" s="43"/>
      <c r="H26" s="43"/>
      <c r="I26" s="43"/>
      <c r="J26" s="43"/>
      <c r="K26" s="44"/>
      <c r="L26" s="19"/>
      <c r="M26" s="24"/>
      <c r="P26" s="25"/>
    </row>
    <row r="27" spans="3:16" s="17" customFormat="1" ht="15" customHeight="1">
      <c r="C27" s="18"/>
      <c r="D27" s="20" t="s">
        <v>44</v>
      </c>
      <c r="E27" s="21" t="s">
        <v>45</v>
      </c>
      <c r="F27" s="22" t="s">
        <v>46</v>
      </c>
      <c r="G27" s="23">
        <f t="shared" si="0"/>
        <v>1560.037</v>
      </c>
      <c r="H27" s="23">
        <f>H29+H30+H31</f>
        <v>0</v>
      </c>
      <c r="I27" s="23">
        <f>I28+I30+I31</f>
        <v>0</v>
      </c>
      <c r="J27" s="23">
        <f>J28+J29+J31</f>
        <v>914.22699999999998</v>
      </c>
      <c r="K27" s="23">
        <f>K28+K29+K30</f>
        <v>645.81000000000006</v>
      </c>
      <c r="L27" s="19"/>
      <c r="M27" s="24"/>
      <c r="P27" s="25"/>
    </row>
    <row r="28" spans="3:16" s="17" customFormat="1" ht="15" customHeight="1">
      <c r="C28" s="18"/>
      <c r="D28" s="20" t="s">
        <v>47</v>
      </c>
      <c r="E28" s="26" t="s">
        <v>17</v>
      </c>
      <c r="F28" s="22" t="s">
        <v>48</v>
      </c>
      <c r="G28" s="23">
        <f t="shared" si="0"/>
        <v>0</v>
      </c>
      <c r="H28" s="46"/>
      <c r="I28" s="27"/>
      <c r="J28" s="27"/>
      <c r="K28" s="27"/>
      <c r="L28" s="19"/>
      <c r="M28" s="24"/>
      <c r="P28" s="25"/>
    </row>
    <row r="29" spans="3:16" s="17" customFormat="1" ht="15" customHeight="1">
      <c r="C29" s="18"/>
      <c r="D29" s="20" t="s">
        <v>49</v>
      </c>
      <c r="E29" s="26" t="s">
        <v>18</v>
      </c>
      <c r="F29" s="22" t="s">
        <v>50</v>
      </c>
      <c r="G29" s="23">
        <f t="shared" si="0"/>
        <v>914.22699999999998</v>
      </c>
      <c r="H29" s="27"/>
      <c r="I29" s="46"/>
      <c r="J29" s="27">
        <f>I15-I33-I47</f>
        <v>914.22699999999998</v>
      </c>
      <c r="K29" s="27"/>
      <c r="L29" s="19"/>
      <c r="M29" s="24"/>
      <c r="P29" s="25"/>
    </row>
    <row r="30" spans="3:16" s="17" customFormat="1" ht="15" customHeight="1">
      <c r="C30" s="18"/>
      <c r="D30" s="20" t="s">
        <v>51</v>
      </c>
      <c r="E30" s="26" t="s">
        <v>19</v>
      </c>
      <c r="F30" s="22" t="s">
        <v>52</v>
      </c>
      <c r="G30" s="23">
        <f t="shared" si="0"/>
        <v>645.81000000000006</v>
      </c>
      <c r="H30" s="27"/>
      <c r="I30" s="27"/>
      <c r="J30" s="46"/>
      <c r="K30" s="27">
        <f>J15+J27-J33-J47</f>
        <v>645.81000000000006</v>
      </c>
      <c r="L30" s="19"/>
      <c r="M30" s="24"/>
      <c r="P30" s="25"/>
    </row>
    <row r="31" spans="3:16" s="17" customFormat="1" ht="15" customHeight="1">
      <c r="C31" s="18"/>
      <c r="D31" s="20" t="s">
        <v>53</v>
      </c>
      <c r="E31" s="26" t="s">
        <v>54</v>
      </c>
      <c r="F31" s="22" t="s">
        <v>55</v>
      </c>
      <c r="G31" s="23">
        <f t="shared" si="0"/>
        <v>0</v>
      </c>
      <c r="H31" s="27"/>
      <c r="I31" s="27"/>
      <c r="J31" s="27"/>
      <c r="K31" s="46"/>
      <c r="L31" s="19"/>
      <c r="M31" s="24"/>
      <c r="P31" s="25"/>
    </row>
    <row r="32" spans="3:16" s="17" customFormat="1" ht="15" customHeight="1">
      <c r="C32" s="18"/>
      <c r="D32" s="20" t="s">
        <v>56</v>
      </c>
      <c r="E32" s="47" t="s">
        <v>57</v>
      </c>
      <c r="F32" s="22" t="s">
        <v>58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5" customHeight="1">
      <c r="C33" s="18"/>
      <c r="D33" s="20" t="s">
        <v>59</v>
      </c>
      <c r="E33" s="21" t="s">
        <v>60</v>
      </c>
      <c r="F33" s="48" t="s">
        <v>61</v>
      </c>
      <c r="G33" s="23">
        <f t="shared" si="0"/>
        <v>5051.0199999999995</v>
      </c>
      <c r="H33" s="23">
        <f>H34+H36+H39+H43</f>
        <v>0</v>
      </c>
      <c r="I33" s="23">
        <f>I34+I36+I39+I43</f>
        <v>4210.8130000000001</v>
      </c>
      <c r="J33" s="23">
        <f>J34+J36+J39+J43</f>
        <v>254.44900000000001</v>
      </c>
      <c r="K33" s="23">
        <f>K34+K36+K39+K43</f>
        <v>585.75800000000004</v>
      </c>
      <c r="L33" s="19"/>
      <c r="M33" s="24"/>
      <c r="P33" s="25"/>
    </row>
    <row r="34" spans="3:16" s="17" customFormat="1" ht="22.5">
      <c r="C34" s="18"/>
      <c r="D34" s="20" t="s">
        <v>62</v>
      </c>
      <c r="E34" s="26" t="s">
        <v>63</v>
      </c>
      <c r="F34" s="22" t="s">
        <v>64</v>
      </c>
      <c r="G34" s="23">
        <f t="shared" si="0"/>
        <v>0</v>
      </c>
      <c r="H34" s="27"/>
      <c r="I34" s="27"/>
      <c r="J34" s="27"/>
      <c r="K34" s="27"/>
      <c r="L34" s="19"/>
      <c r="M34" s="24"/>
      <c r="P34" s="25"/>
    </row>
    <row r="35" spans="3:16" s="17" customFormat="1" ht="15" customHeight="1">
      <c r="C35" s="18"/>
      <c r="D35" s="20" t="s">
        <v>65</v>
      </c>
      <c r="E35" s="49" t="s">
        <v>66</v>
      </c>
      <c r="F35" s="22" t="s">
        <v>67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68</v>
      </c>
      <c r="E36" s="26" t="s">
        <v>69</v>
      </c>
      <c r="F36" s="22" t="s">
        <v>70</v>
      </c>
      <c r="G36" s="23">
        <f t="shared" si="0"/>
        <v>1544.335</v>
      </c>
      <c r="H36" s="27"/>
      <c r="I36" s="27">
        <f>704128/1000</f>
        <v>704.12800000000004</v>
      </c>
      <c r="J36" s="27">
        <f>254449/1000</f>
        <v>254.44900000000001</v>
      </c>
      <c r="K36" s="27">
        <f>585758/1000</f>
        <v>585.75800000000004</v>
      </c>
      <c r="L36" s="19"/>
      <c r="M36" s="24"/>
      <c r="P36" s="25"/>
    </row>
    <row r="37" spans="3:16" s="17" customFormat="1" ht="15" customHeight="1">
      <c r="C37" s="18"/>
      <c r="D37" s="20" t="s">
        <v>71</v>
      </c>
      <c r="E37" s="49" t="s">
        <v>72</v>
      </c>
      <c r="F37" s="22" t="s">
        <v>73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5" customHeight="1">
      <c r="C38" s="18"/>
      <c r="D38" s="20" t="s">
        <v>74</v>
      </c>
      <c r="E38" s="50" t="s">
        <v>66</v>
      </c>
      <c r="F38" s="22" t="s">
        <v>75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76</v>
      </c>
      <c r="E39" s="26" t="s">
        <v>77</v>
      </c>
      <c r="F39" s="22" t="s">
        <v>78</v>
      </c>
      <c r="G39" s="23">
        <f t="shared" si="0"/>
        <v>3506.6849999999999</v>
      </c>
      <c r="H39" s="23">
        <f>SUM(H40:H42)</f>
        <v>0</v>
      </c>
      <c r="I39" s="23">
        <f>SUM(I40:I42)</f>
        <v>3506.6849999999999</v>
      </c>
      <c r="J39" s="23">
        <f>SUM(J40:J42)</f>
        <v>0</v>
      </c>
      <c r="K39" s="23">
        <f>SUM(K40:K42)</f>
        <v>0</v>
      </c>
      <c r="L39" s="19"/>
      <c r="M39" s="24"/>
      <c r="P39" s="25"/>
    </row>
    <row r="40" spans="3:16" s="17" customFormat="1" ht="12.75" hidden="1">
      <c r="C40" s="18"/>
      <c r="D40" s="28" t="s">
        <v>79</v>
      </c>
      <c r="E40" s="29"/>
      <c r="F40" s="30" t="s">
        <v>78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5" customHeight="1">
      <c r="C41" s="32" t="s">
        <v>30</v>
      </c>
      <c r="D41" s="33" t="s">
        <v>80</v>
      </c>
      <c r="E41" s="34" t="s">
        <v>81</v>
      </c>
      <c r="F41" s="35">
        <v>751</v>
      </c>
      <c r="G41" s="36">
        <f>SUM(H41:K41)</f>
        <v>3506.6849999999999</v>
      </c>
      <c r="H41" s="37"/>
      <c r="I41" s="37">
        <f>3506685/1000</f>
        <v>3506.6849999999999</v>
      </c>
      <c r="J41" s="37"/>
      <c r="K41" s="38"/>
      <c r="L41" s="19"/>
      <c r="M41" s="39"/>
      <c r="N41" s="40"/>
      <c r="O41" s="40"/>
    </row>
    <row r="42" spans="3:16" s="17" customFormat="1" ht="15" customHeight="1">
      <c r="C42" s="18"/>
      <c r="D42" s="51"/>
      <c r="E42" s="42" t="s">
        <v>33</v>
      </c>
      <c r="F42" s="43"/>
      <c r="G42" s="43"/>
      <c r="H42" s="43"/>
      <c r="I42" s="43"/>
      <c r="J42" s="43"/>
      <c r="K42" s="44"/>
      <c r="L42" s="19"/>
      <c r="M42" s="24"/>
      <c r="P42" s="25"/>
    </row>
    <row r="43" spans="3:16" s="17" customFormat="1" ht="15" customHeight="1">
      <c r="C43" s="18"/>
      <c r="D43" s="20" t="s">
        <v>82</v>
      </c>
      <c r="E43" s="52" t="s">
        <v>83</v>
      </c>
      <c r="F43" s="22" t="s">
        <v>84</v>
      </c>
      <c r="G43" s="23">
        <f t="shared" si="0"/>
        <v>0</v>
      </c>
      <c r="H43" s="27"/>
      <c r="I43" s="27"/>
      <c r="J43" s="27"/>
      <c r="K43" s="27"/>
      <c r="L43" s="19"/>
      <c r="M43" s="24"/>
      <c r="P43" s="25"/>
    </row>
    <row r="44" spans="3:16" s="17" customFormat="1" ht="15" customHeight="1">
      <c r="C44" s="18"/>
      <c r="D44" s="20" t="s">
        <v>85</v>
      </c>
      <c r="E44" s="21" t="s">
        <v>86</v>
      </c>
      <c r="F44" s="22" t="s">
        <v>87</v>
      </c>
      <c r="G44" s="23">
        <f t="shared" si="0"/>
        <v>1560.037</v>
      </c>
      <c r="H44" s="27"/>
      <c r="I44" s="27">
        <f>I15-I33-I47</f>
        <v>914.22699999999998</v>
      </c>
      <c r="J44" s="27">
        <f>J29-J36-J47</f>
        <v>645.81000000000006</v>
      </c>
      <c r="K44" s="27"/>
      <c r="L44" s="19"/>
      <c r="M44" s="24"/>
      <c r="P44" s="25"/>
    </row>
    <row r="45" spans="3:16" s="17" customFormat="1" ht="15" customHeight="1">
      <c r="C45" s="18"/>
      <c r="D45" s="20" t="s">
        <v>88</v>
      </c>
      <c r="E45" s="21" t="s">
        <v>89</v>
      </c>
      <c r="F45" s="22" t="s">
        <v>90</v>
      </c>
      <c r="G45" s="23">
        <f t="shared" si="0"/>
        <v>0</v>
      </c>
      <c r="H45" s="27"/>
      <c r="I45" s="27"/>
      <c r="J45" s="27"/>
      <c r="K45" s="27"/>
      <c r="L45" s="19"/>
      <c r="M45" s="24"/>
      <c r="P45" s="25"/>
    </row>
    <row r="46" spans="3:16" s="17" customFormat="1" ht="15" customHeight="1">
      <c r="C46" s="18"/>
      <c r="D46" s="20" t="s">
        <v>91</v>
      </c>
      <c r="E46" s="21" t="s">
        <v>92</v>
      </c>
      <c r="F46" s="22" t="s">
        <v>93</v>
      </c>
      <c r="G46" s="23">
        <f t="shared" si="0"/>
        <v>0</v>
      </c>
      <c r="H46" s="27"/>
      <c r="I46" s="27"/>
      <c r="J46" s="27"/>
      <c r="K46" s="27"/>
      <c r="L46" s="19"/>
      <c r="M46" s="24"/>
      <c r="P46" s="25"/>
    </row>
    <row r="47" spans="3:16" s="17" customFormat="1" ht="15" customHeight="1">
      <c r="C47" s="18"/>
      <c r="D47" s="20" t="s">
        <v>94</v>
      </c>
      <c r="E47" s="21" t="s">
        <v>95</v>
      </c>
      <c r="F47" s="22" t="s">
        <v>96</v>
      </c>
      <c r="G47" s="23">
        <f t="shared" si="0"/>
        <v>142.09200000000001</v>
      </c>
      <c r="H47" s="27"/>
      <c r="I47" s="27">
        <f>68072/1000</f>
        <v>68.072000000000003</v>
      </c>
      <c r="J47" s="27">
        <f>13968/1000</f>
        <v>13.968</v>
      </c>
      <c r="K47" s="27">
        <f>60052/1000</f>
        <v>60.052</v>
      </c>
      <c r="L47" s="19"/>
      <c r="M47" s="24"/>
      <c r="P47" s="25"/>
    </row>
    <row r="48" spans="3:16" s="17" customFormat="1" ht="15" customHeight="1">
      <c r="C48" s="18"/>
      <c r="D48" s="20" t="s">
        <v>97</v>
      </c>
      <c r="E48" s="26" t="s">
        <v>98</v>
      </c>
      <c r="F48" s="22" t="s">
        <v>99</v>
      </c>
      <c r="G48" s="23">
        <f t="shared" si="0"/>
        <v>0</v>
      </c>
      <c r="H48" s="27"/>
      <c r="I48" s="27"/>
      <c r="J48" s="27"/>
      <c r="K48" s="27"/>
      <c r="L48" s="19"/>
      <c r="M48" s="24"/>
      <c r="P48" s="25"/>
    </row>
    <row r="49" spans="3:16" s="17" customFormat="1" ht="15" customHeight="1">
      <c r="C49" s="18"/>
      <c r="D49" s="20" t="s">
        <v>100</v>
      </c>
      <c r="E49" s="21" t="s">
        <v>101</v>
      </c>
      <c r="F49" s="22" t="s">
        <v>102</v>
      </c>
      <c r="G49" s="23">
        <f t="shared" si="0"/>
        <v>300</v>
      </c>
      <c r="H49" s="27"/>
      <c r="I49" s="27">
        <v>50.811163862165145</v>
      </c>
      <c r="J49" s="27">
        <v>117.43569402642699</v>
      </c>
      <c r="K49" s="27">
        <v>131.75314211140787</v>
      </c>
      <c r="L49" s="19"/>
      <c r="M49" s="24"/>
      <c r="P49" s="45"/>
    </row>
    <row r="50" spans="3:16" s="17" customFormat="1" ht="33.75">
      <c r="C50" s="18"/>
      <c r="D50" s="20" t="s">
        <v>103</v>
      </c>
      <c r="E50" s="47" t="s">
        <v>104</v>
      </c>
      <c r="F50" s="22" t="s">
        <v>105</v>
      </c>
      <c r="G50" s="23">
        <f t="shared" si="0"/>
        <v>-157.90800000000002</v>
      </c>
      <c r="H50" s="23">
        <f>H47-H49</f>
        <v>0</v>
      </c>
      <c r="I50" s="23">
        <f>I47-I49</f>
        <v>17.260836137834858</v>
      </c>
      <c r="J50" s="23">
        <f>J47-J49</f>
        <v>-103.46769402642698</v>
      </c>
      <c r="K50" s="23">
        <f>K47-K49</f>
        <v>-71.701142111407876</v>
      </c>
      <c r="L50" s="19"/>
      <c r="M50" s="24"/>
      <c r="P50" s="45"/>
    </row>
    <row r="51" spans="3:16" s="17" customFormat="1" ht="15" customHeight="1">
      <c r="C51" s="18"/>
      <c r="D51" s="20" t="s">
        <v>106</v>
      </c>
      <c r="E51" s="21" t="s">
        <v>107</v>
      </c>
      <c r="F51" s="22" t="s">
        <v>108</v>
      </c>
      <c r="G51" s="23">
        <f t="shared" si="0"/>
        <v>0</v>
      </c>
      <c r="H51" s="23">
        <f>(H15+H27+H32)-(H33+H44+H45+H46+H47)</f>
        <v>0</v>
      </c>
      <c r="I51" s="23">
        <f>(I15+I27+I32)-(I33+I44+I45+I46+I47)</f>
        <v>0</v>
      </c>
      <c r="J51" s="23">
        <f>(J15+J27+J32)-(J33+J44+J45+J46+J47)</f>
        <v>0</v>
      </c>
      <c r="K51" s="23">
        <f>(K15+K27+K32)-(K33+K44+K45+K46+K47)</f>
        <v>0</v>
      </c>
      <c r="L51" s="19"/>
      <c r="M51" s="24"/>
      <c r="P51" s="25"/>
    </row>
    <row r="52" spans="3:16" s="17" customFormat="1" ht="15" customHeight="1">
      <c r="C52" s="18"/>
      <c r="D52" s="83" t="s">
        <v>109</v>
      </c>
      <c r="E52" s="84"/>
      <c r="F52" s="84"/>
      <c r="G52" s="84"/>
      <c r="H52" s="84"/>
      <c r="I52" s="84"/>
      <c r="J52" s="84"/>
      <c r="K52" s="85"/>
      <c r="L52" s="19"/>
      <c r="M52" s="24"/>
      <c r="P52" s="45"/>
    </row>
    <row r="53" spans="3:16" s="17" customFormat="1" ht="15" customHeight="1">
      <c r="C53" s="18"/>
      <c r="D53" s="20" t="s">
        <v>110</v>
      </c>
      <c r="E53" s="21" t="s">
        <v>23</v>
      </c>
      <c r="F53" s="22" t="s">
        <v>111</v>
      </c>
      <c r="G53" s="23">
        <f t="shared" si="0"/>
        <v>7.212655555555556</v>
      </c>
      <c r="H53" s="23">
        <f>H54+H55+H58+H61</f>
        <v>0</v>
      </c>
      <c r="I53" s="23">
        <f>I54+I55+I58+I61</f>
        <v>7.212655555555556</v>
      </c>
      <c r="J53" s="23">
        <f>J54+J55+J58+J61</f>
        <v>0</v>
      </c>
      <c r="K53" s="23">
        <f>K54+K55+K58+K61</f>
        <v>0</v>
      </c>
      <c r="L53" s="19"/>
      <c r="M53" s="24"/>
      <c r="P53" s="25"/>
    </row>
    <row r="54" spans="3:16" s="17" customFormat="1" ht="15" customHeight="1">
      <c r="C54" s="18"/>
      <c r="D54" s="20" t="s">
        <v>112</v>
      </c>
      <c r="E54" s="26" t="s">
        <v>25</v>
      </c>
      <c r="F54" s="22" t="s">
        <v>113</v>
      </c>
      <c r="G54" s="23">
        <f t="shared" si="0"/>
        <v>0</v>
      </c>
      <c r="H54" s="27"/>
      <c r="I54" s="27"/>
      <c r="J54" s="27"/>
      <c r="K54" s="27"/>
      <c r="L54" s="19"/>
      <c r="M54" s="24"/>
      <c r="P54" s="25"/>
    </row>
    <row r="55" spans="3:16" s="17" customFormat="1" ht="15" customHeight="1">
      <c r="C55" s="18"/>
      <c r="D55" s="20" t="s">
        <v>114</v>
      </c>
      <c r="E55" s="26" t="s">
        <v>27</v>
      </c>
      <c r="F55" s="22" t="s">
        <v>115</v>
      </c>
      <c r="G55" s="23">
        <f t="shared" si="0"/>
        <v>0</v>
      </c>
      <c r="H55" s="23">
        <f>SUM(H56:H57)</f>
        <v>0</v>
      </c>
      <c r="I55" s="23">
        <f>SUM(I56:I57)</f>
        <v>0</v>
      </c>
      <c r="J55" s="23">
        <f>SUM(J56:J57)</f>
        <v>0</v>
      </c>
      <c r="K55" s="23">
        <f>SUM(K56:K57)</f>
        <v>0</v>
      </c>
      <c r="L55" s="19"/>
      <c r="M55" s="24"/>
      <c r="P55" s="25"/>
    </row>
    <row r="56" spans="3:16" s="17" customFormat="1" ht="12.75" hidden="1">
      <c r="C56" s="18"/>
      <c r="D56" s="28" t="s">
        <v>116</v>
      </c>
      <c r="E56" s="29"/>
      <c r="F56" s="30" t="s">
        <v>115</v>
      </c>
      <c r="G56" s="31"/>
      <c r="H56" s="31"/>
      <c r="I56" s="31"/>
      <c r="J56" s="31"/>
      <c r="K56" s="31"/>
      <c r="L56" s="19"/>
      <c r="M56" s="24"/>
      <c r="P56" s="25"/>
    </row>
    <row r="57" spans="3:16" s="17" customFormat="1" ht="15" customHeight="1">
      <c r="C57" s="18"/>
      <c r="D57" s="41"/>
      <c r="E57" s="42" t="s">
        <v>33</v>
      </c>
      <c r="F57" s="43"/>
      <c r="G57" s="43"/>
      <c r="H57" s="43"/>
      <c r="I57" s="43"/>
      <c r="J57" s="43"/>
      <c r="K57" s="44"/>
      <c r="L57" s="19"/>
      <c r="M57" s="24"/>
      <c r="P57" s="25"/>
    </row>
    <row r="58" spans="3:16" s="17" customFormat="1" ht="15" customHeight="1">
      <c r="C58" s="18"/>
      <c r="D58" s="20" t="s">
        <v>118</v>
      </c>
      <c r="E58" s="26" t="s">
        <v>35</v>
      </c>
      <c r="F58" s="22" t="s">
        <v>119</v>
      </c>
      <c r="G58" s="23">
        <f t="shared" si="0"/>
        <v>0</v>
      </c>
      <c r="H58" s="23">
        <f>SUM(H59:H60)</f>
        <v>0</v>
      </c>
      <c r="I58" s="23">
        <f>SUM(I59:I60)</f>
        <v>0</v>
      </c>
      <c r="J58" s="23">
        <f>SUM(J59:J60)</f>
        <v>0</v>
      </c>
      <c r="K58" s="23">
        <f>SUM(K59:K60)</f>
        <v>0</v>
      </c>
      <c r="L58" s="19"/>
      <c r="M58" s="24"/>
      <c r="P58" s="25"/>
    </row>
    <row r="59" spans="3:16" s="17" customFormat="1" ht="12.75" hidden="1" customHeight="1">
      <c r="C59" s="18"/>
      <c r="D59" s="28" t="s">
        <v>120</v>
      </c>
      <c r="E59" s="29"/>
      <c r="F59" s="30" t="s">
        <v>119</v>
      </c>
      <c r="G59" s="31"/>
      <c r="H59" s="31"/>
      <c r="I59" s="31"/>
      <c r="J59" s="31"/>
      <c r="K59" s="31"/>
      <c r="L59" s="19"/>
      <c r="M59" s="24"/>
      <c r="P59" s="25"/>
    </row>
    <row r="60" spans="3:16" s="17" customFormat="1" ht="15" customHeight="1">
      <c r="C60" s="18"/>
      <c r="D60" s="41"/>
      <c r="E60" s="42" t="s">
        <v>33</v>
      </c>
      <c r="F60" s="43"/>
      <c r="G60" s="43"/>
      <c r="H60" s="43"/>
      <c r="I60" s="43"/>
      <c r="J60" s="43"/>
      <c r="K60" s="44"/>
      <c r="L60" s="19"/>
      <c r="M60" s="24"/>
      <c r="P60" s="25"/>
    </row>
    <row r="61" spans="3:16" s="17" customFormat="1" ht="15" customHeight="1">
      <c r="C61" s="18"/>
      <c r="D61" s="20" t="s">
        <v>121</v>
      </c>
      <c r="E61" s="26" t="s">
        <v>39</v>
      </c>
      <c r="F61" s="22" t="s">
        <v>122</v>
      </c>
      <c r="G61" s="23">
        <f t="shared" si="0"/>
        <v>7.212655555555556</v>
      </c>
      <c r="H61" s="23">
        <f>SUM(H62:H64)</f>
        <v>0</v>
      </c>
      <c r="I61" s="23">
        <f>SUM(I62:I64)</f>
        <v>7.212655555555556</v>
      </c>
      <c r="J61" s="23">
        <f>SUM(J62:J64)</f>
        <v>0</v>
      </c>
      <c r="K61" s="23">
        <f>SUM(K62:K64)</f>
        <v>0</v>
      </c>
      <c r="L61" s="19"/>
      <c r="M61" s="24"/>
      <c r="P61" s="25"/>
    </row>
    <row r="62" spans="3:16" s="17" customFormat="1" ht="12.75" hidden="1" customHeight="1">
      <c r="C62" s="18"/>
      <c r="D62" s="28" t="s">
        <v>123</v>
      </c>
      <c r="E62" s="29"/>
      <c r="F62" s="30" t="s">
        <v>122</v>
      </c>
      <c r="G62" s="31"/>
      <c r="H62" s="31"/>
      <c r="I62" s="31"/>
      <c r="J62" s="31"/>
      <c r="K62" s="31"/>
      <c r="L62" s="19"/>
      <c r="M62" s="24"/>
      <c r="P62" s="25"/>
    </row>
    <row r="63" spans="3:16" s="17" customFormat="1" ht="15" customHeight="1">
      <c r="C63" s="32" t="s">
        <v>30</v>
      </c>
      <c r="D63" s="33" t="s">
        <v>124</v>
      </c>
      <c r="E63" s="34" t="s">
        <v>43</v>
      </c>
      <c r="F63" s="35">
        <v>1461</v>
      </c>
      <c r="G63" s="36">
        <f>SUM(H63:K63)</f>
        <v>7.212655555555556</v>
      </c>
      <c r="H63" s="37"/>
      <c r="I63" s="37">
        <f>I25/720</f>
        <v>7.212655555555556</v>
      </c>
      <c r="J63" s="37"/>
      <c r="K63" s="38"/>
      <c r="L63" s="19"/>
      <c r="M63" s="39"/>
      <c r="N63" s="40"/>
      <c r="O63" s="40"/>
    </row>
    <row r="64" spans="3:16" s="17" customFormat="1" ht="15" customHeight="1">
      <c r="C64" s="18"/>
      <c r="D64" s="41"/>
      <c r="E64" s="42" t="s">
        <v>33</v>
      </c>
      <c r="F64" s="43"/>
      <c r="G64" s="43"/>
      <c r="H64" s="43"/>
      <c r="I64" s="43"/>
      <c r="J64" s="43"/>
      <c r="K64" s="44"/>
      <c r="L64" s="19"/>
      <c r="M64" s="24"/>
      <c r="P64" s="25"/>
    </row>
    <row r="65" spans="3:16" s="17" customFormat="1" ht="15" customHeight="1">
      <c r="C65" s="18"/>
      <c r="D65" s="20" t="s">
        <v>125</v>
      </c>
      <c r="E65" s="21" t="s">
        <v>45</v>
      </c>
      <c r="F65" s="22" t="s">
        <v>126</v>
      </c>
      <c r="G65" s="23">
        <f t="shared" si="0"/>
        <v>2.1667180555555556</v>
      </c>
      <c r="H65" s="23">
        <f>H67+H68+H69</f>
        <v>0</v>
      </c>
      <c r="I65" s="23">
        <f>I66+I68+I69</f>
        <v>0</v>
      </c>
      <c r="J65" s="23">
        <f>J66+J67+J69</f>
        <v>1.2697597222222221</v>
      </c>
      <c r="K65" s="23">
        <f>K66+K67+K68</f>
        <v>0.89695833333333341</v>
      </c>
      <c r="L65" s="19"/>
      <c r="M65" s="24"/>
      <c r="P65" s="25"/>
    </row>
    <row r="66" spans="3:16" s="17" customFormat="1" ht="15" customHeight="1">
      <c r="C66" s="18"/>
      <c r="D66" s="20" t="s">
        <v>127</v>
      </c>
      <c r="E66" s="26" t="s">
        <v>17</v>
      </c>
      <c r="F66" s="22" t="s">
        <v>128</v>
      </c>
      <c r="G66" s="23">
        <f t="shared" si="0"/>
        <v>0</v>
      </c>
      <c r="H66" s="46"/>
      <c r="I66" s="27"/>
      <c r="J66" s="27"/>
      <c r="K66" s="27"/>
      <c r="L66" s="19"/>
      <c r="M66" s="24"/>
      <c r="P66" s="25"/>
    </row>
    <row r="67" spans="3:16" s="17" customFormat="1" ht="15" customHeight="1">
      <c r="C67" s="18"/>
      <c r="D67" s="20" t="s">
        <v>129</v>
      </c>
      <c r="E67" s="26" t="s">
        <v>18</v>
      </c>
      <c r="F67" s="22" t="s">
        <v>130</v>
      </c>
      <c r="G67" s="23">
        <f t="shared" si="0"/>
        <v>1.2697597222222221</v>
      </c>
      <c r="H67" s="27"/>
      <c r="I67" s="53"/>
      <c r="J67" s="27">
        <f>J29/720</f>
        <v>1.2697597222222221</v>
      </c>
      <c r="K67" s="27"/>
      <c r="L67" s="19"/>
      <c r="M67" s="24"/>
      <c r="P67" s="25"/>
    </row>
    <row r="68" spans="3:16" s="17" customFormat="1" ht="15" customHeight="1">
      <c r="C68" s="18"/>
      <c r="D68" s="20" t="s">
        <v>131</v>
      </c>
      <c r="E68" s="26" t="s">
        <v>19</v>
      </c>
      <c r="F68" s="22" t="s">
        <v>132</v>
      </c>
      <c r="G68" s="23">
        <f t="shared" si="0"/>
        <v>0.89695833333333341</v>
      </c>
      <c r="H68" s="27"/>
      <c r="I68" s="27"/>
      <c r="J68" s="46"/>
      <c r="K68" s="27">
        <f>K30/720</f>
        <v>0.89695833333333341</v>
      </c>
      <c r="L68" s="19"/>
      <c r="M68" s="24"/>
      <c r="P68" s="25"/>
    </row>
    <row r="69" spans="3:16" s="17" customFormat="1" ht="15" customHeight="1">
      <c r="C69" s="18"/>
      <c r="D69" s="20" t="s">
        <v>133</v>
      </c>
      <c r="E69" s="26" t="s">
        <v>54</v>
      </c>
      <c r="F69" s="22" t="s">
        <v>134</v>
      </c>
      <c r="G69" s="23">
        <f t="shared" si="0"/>
        <v>0</v>
      </c>
      <c r="H69" s="27"/>
      <c r="I69" s="27"/>
      <c r="J69" s="27"/>
      <c r="K69" s="46"/>
      <c r="L69" s="19"/>
      <c r="M69" s="24"/>
      <c r="P69" s="25"/>
    </row>
    <row r="70" spans="3:16" s="17" customFormat="1" ht="15" customHeight="1">
      <c r="C70" s="18"/>
      <c r="D70" s="20" t="s">
        <v>135</v>
      </c>
      <c r="E70" s="47" t="s">
        <v>57</v>
      </c>
      <c r="F70" s="22" t="s">
        <v>136</v>
      </c>
      <c r="G70" s="23">
        <f t="shared" si="0"/>
        <v>0</v>
      </c>
      <c r="H70" s="27"/>
      <c r="I70" s="27"/>
      <c r="J70" s="27"/>
      <c r="K70" s="27"/>
      <c r="L70" s="19"/>
      <c r="M70" s="24"/>
      <c r="P70" s="25"/>
    </row>
    <row r="71" spans="3:16" s="17" customFormat="1" ht="15" customHeight="1">
      <c r="C71" s="18"/>
      <c r="D71" s="20" t="s">
        <v>137</v>
      </c>
      <c r="E71" s="21" t="s">
        <v>60</v>
      </c>
      <c r="F71" s="48" t="s">
        <v>138</v>
      </c>
      <c r="G71" s="23">
        <f t="shared" si="0"/>
        <v>7.0153055555555559</v>
      </c>
      <c r="H71" s="23">
        <f>H72+H74+H77+H81</f>
        <v>0</v>
      </c>
      <c r="I71" s="23">
        <f>I72+I74+I77+I81</f>
        <v>5.8483513888888892</v>
      </c>
      <c r="J71" s="23">
        <f>J72+J74+J77+J81</f>
        <v>0.35340138888888889</v>
      </c>
      <c r="K71" s="23">
        <f>K72+K74+K77+K81</f>
        <v>0.81355277777777779</v>
      </c>
      <c r="L71" s="19"/>
      <c r="M71" s="24"/>
      <c r="P71" s="25"/>
    </row>
    <row r="72" spans="3:16" s="17" customFormat="1" ht="22.5">
      <c r="C72" s="18"/>
      <c r="D72" s="20" t="s">
        <v>139</v>
      </c>
      <c r="E72" s="26" t="s">
        <v>63</v>
      </c>
      <c r="F72" s="22" t="s">
        <v>140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141</v>
      </c>
      <c r="E73" s="49" t="s">
        <v>66</v>
      </c>
      <c r="F73" s="22" t="s">
        <v>142</v>
      </c>
      <c r="G73" s="23">
        <f t="shared" si="0"/>
        <v>0</v>
      </c>
      <c r="H73" s="27"/>
      <c r="I73" s="27"/>
      <c r="J73" s="27"/>
      <c r="K73" s="27"/>
      <c r="L73" s="19"/>
      <c r="M73" s="24"/>
      <c r="P73" s="25"/>
    </row>
    <row r="74" spans="3:16" s="17" customFormat="1" ht="15" customHeight="1">
      <c r="C74" s="18"/>
      <c r="D74" s="20" t="s">
        <v>143</v>
      </c>
      <c r="E74" s="26" t="s">
        <v>69</v>
      </c>
      <c r="F74" s="22" t="s">
        <v>144</v>
      </c>
      <c r="G74" s="23">
        <f t="shared" si="0"/>
        <v>2.1449097222222222</v>
      </c>
      <c r="H74" s="27"/>
      <c r="I74" s="27">
        <f>I36/720</f>
        <v>0.97795555555555558</v>
      </c>
      <c r="J74" s="27">
        <f>J36/720</f>
        <v>0.35340138888888889</v>
      </c>
      <c r="K74" s="27">
        <f>K36/720</f>
        <v>0.81355277777777779</v>
      </c>
      <c r="L74" s="19"/>
      <c r="M74" s="24"/>
      <c r="P74" s="25"/>
    </row>
    <row r="75" spans="3:16" s="17" customFormat="1" ht="15" customHeight="1">
      <c r="C75" s="18"/>
      <c r="D75" s="20" t="s">
        <v>145</v>
      </c>
      <c r="E75" s="49" t="s">
        <v>72</v>
      </c>
      <c r="F75" s="22" t="s">
        <v>146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147</v>
      </c>
      <c r="E76" s="50" t="s">
        <v>66</v>
      </c>
      <c r="F76" s="22" t="s">
        <v>148</v>
      </c>
      <c r="G76" s="23">
        <f t="shared" si="0"/>
        <v>0</v>
      </c>
      <c r="H76" s="27"/>
      <c r="I76" s="27"/>
      <c r="J76" s="27"/>
      <c r="K76" s="27"/>
      <c r="L76" s="19"/>
      <c r="M76" s="24"/>
      <c r="P76" s="25"/>
    </row>
    <row r="77" spans="3:16" s="17" customFormat="1" ht="15" customHeight="1">
      <c r="C77" s="18"/>
      <c r="D77" s="20" t="s">
        <v>149</v>
      </c>
      <c r="E77" s="26" t="s">
        <v>77</v>
      </c>
      <c r="F77" s="22" t="s">
        <v>150</v>
      </c>
      <c r="G77" s="23">
        <f t="shared" si="0"/>
        <v>4.8703958333333333</v>
      </c>
      <c r="H77" s="23">
        <f>SUM(H78:H80)</f>
        <v>0</v>
      </c>
      <c r="I77" s="23">
        <f>SUM(I78:I80)</f>
        <v>4.8703958333333333</v>
      </c>
      <c r="J77" s="23">
        <f>SUM(J78:J80)</f>
        <v>0</v>
      </c>
      <c r="K77" s="23">
        <f>SUM(K78:K80)</f>
        <v>0</v>
      </c>
      <c r="L77" s="19"/>
      <c r="M77" s="24"/>
      <c r="P77" s="25"/>
    </row>
    <row r="78" spans="3:16" s="17" customFormat="1" ht="12.75" hidden="1" customHeight="1">
      <c r="C78" s="18"/>
      <c r="D78" s="28" t="s">
        <v>151</v>
      </c>
      <c r="E78" s="29"/>
      <c r="F78" s="30" t="s">
        <v>150</v>
      </c>
      <c r="G78" s="31"/>
      <c r="H78" s="31"/>
      <c r="I78" s="31"/>
      <c r="J78" s="31"/>
      <c r="K78" s="31"/>
      <c r="L78" s="19"/>
      <c r="M78" s="24"/>
      <c r="P78" s="25"/>
    </row>
    <row r="79" spans="3:16" s="17" customFormat="1" ht="15" customHeight="1">
      <c r="C79" s="32" t="s">
        <v>30</v>
      </c>
      <c r="D79" s="33" t="s">
        <v>152</v>
      </c>
      <c r="E79" s="34" t="s">
        <v>81</v>
      </c>
      <c r="F79" s="35">
        <v>1781</v>
      </c>
      <c r="G79" s="36">
        <f>SUM(H79:K79)</f>
        <v>4.8703958333333333</v>
      </c>
      <c r="H79" s="37"/>
      <c r="I79" s="37">
        <f>I41/720</f>
        <v>4.8703958333333333</v>
      </c>
      <c r="J79" s="37"/>
      <c r="K79" s="38"/>
      <c r="L79" s="19"/>
      <c r="M79" s="39"/>
      <c r="N79" s="40"/>
      <c r="O79" s="40"/>
    </row>
    <row r="80" spans="3:16" s="17" customFormat="1" ht="15" customHeight="1">
      <c r="C80" s="18"/>
      <c r="D80" s="41"/>
      <c r="E80" s="42" t="s">
        <v>33</v>
      </c>
      <c r="F80" s="43"/>
      <c r="G80" s="43"/>
      <c r="H80" s="43"/>
      <c r="I80" s="43"/>
      <c r="J80" s="43"/>
      <c r="K80" s="44"/>
      <c r="L80" s="19"/>
      <c r="M80" s="24"/>
      <c r="P80" s="25"/>
    </row>
    <row r="81" spans="3:16" s="17" customFormat="1" ht="15" customHeight="1">
      <c r="C81" s="18"/>
      <c r="D81" s="20" t="s">
        <v>153</v>
      </c>
      <c r="E81" s="52" t="s">
        <v>83</v>
      </c>
      <c r="F81" s="22" t="s">
        <v>154</v>
      </c>
      <c r="G81" s="23">
        <f t="shared" si="0"/>
        <v>0</v>
      </c>
      <c r="H81" s="27"/>
      <c r="I81" s="27"/>
      <c r="J81" s="27"/>
      <c r="K81" s="27"/>
      <c r="L81" s="19"/>
      <c r="M81" s="24"/>
      <c r="P81" s="25"/>
    </row>
    <row r="82" spans="3:16" s="17" customFormat="1" ht="15" customHeight="1">
      <c r="C82" s="18"/>
      <c r="D82" s="20" t="s">
        <v>155</v>
      </c>
      <c r="E82" s="21" t="s">
        <v>86</v>
      </c>
      <c r="F82" s="22" t="s">
        <v>156</v>
      </c>
      <c r="G82" s="23">
        <f t="shared" si="0"/>
        <v>2.1667180555555556</v>
      </c>
      <c r="H82" s="27"/>
      <c r="I82" s="27">
        <f>I44/720</f>
        <v>1.2697597222222221</v>
      </c>
      <c r="J82" s="27">
        <f>J44/720</f>
        <v>0.89695833333333341</v>
      </c>
      <c r="K82" s="27"/>
      <c r="L82" s="19"/>
      <c r="M82" s="24"/>
      <c r="P82" s="25"/>
    </row>
    <row r="83" spans="3:16" s="17" customFormat="1" ht="15" customHeight="1">
      <c r="C83" s="18"/>
      <c r="D83" s="20" t="s">
        <v>157</v>
      </c>
      <c r="E83" s="21" t="s">
        <v>89</v>
      </c>
      <c r="F83" s="22" t="s">
        <v>158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>
      <c r="C84" s="18"/>
      <c r="D84" s="20" t="s">
        <v>159</v>
      </c>
      <c r="E84" s="21" t="s">
        <v>92</v>
      </c>
      <c r="F84" s="22" t="s">
        <v>160</v>
      </c>
      <c r="G84" s="23">
        <f t="shared" si="0"/>
        <v>0</v>
      </c>
      <c r="H84" s="27"/>
      <c r="I84" s="27"/>
      <c r="J84" s="27"/>
      <c r="K84" s="27"/>
      <c r="L84" s="19"/>
      <c r="M84" s="24"/>
      <c r="P84" s="25"/>
    </row>
    <row r="85" spans="3:16" s="17" customFormat="1" ht="15" customHeight="1">
      <c r="C85" s="18"/>
      <c r="D85" s="20" t="s">
        <v>161</v>
      </c>
      <c r="E85" s="21" t="s">
        <v>95</v>
      </c>
      <c r="F85" s="22" t="s">
        <v>162</v>
      </c>
      <c r="G85" s="23">
        <f t="shared" si="0"/>
        <v>0.19735</v>
      </c>
      <c r="H85" s="27"/>
      <c r="I85" s="27">
        <f>I47/720</f>
        <v>9.4544444444444445E-2</v>
      </c>
      <c r="J85" s="27">
        <f>J47/720</f>
        <v>1.9400000000000001E-2</v>
      </c>
      <c r="K85" s="27">
        <f>K47/720</f>
        <v>8.3405555555555552E-2</v>
      </c>
      <c r="L85" s="19"/>
      <c r="M85" s="24"/>
      <c r="P85" s="25"/>
    </row>
    <row r="86" spans="3:16" s="17" customFormat="1" ht="15" customHeight="1">
      <c r="C86" s="18"/>
      <c r="D86" s="20" t="s">
        <v>163</v>
      </c>
      <c r="E86" s="26" t="s">
        <v>164</v>
      </c>
      <c r="F86" s="22" t="s">
        <v>165</v>
      </c>
      <c r="G86" s="23">
        <f t="shared" si="0"/>
        <v>0</v>
      </c>
      <c r="H86" s="27"/>
      <c r="I86" s="27"/>
      <c r="J86" s="27"/>
      <c r="K86" s="27"/>
      <c r="L86" s="19"/>
      <c r="M86" s="24"/>
      <c r="P86" s="25"/>
    </row>
    <row r="87" spans="3:16" s="17" customFormat="1" ht="15" customHeight="1">
      <c r="C87" s="18"/>
      <c r="D87" s="20" t="s">
        <v>166</v>
      </c>
      <c r="E87" s="21" t="s">
        <v>101</v>
      </c>
      <c r="F87" s="22" t="s">
        <v>167</v>
      </c>
      <c r="G87" s="23">
        <f t="shared" si="0"/>
        <v>0.41666666666666669</v>
      </c>
      <c r="H87" s="27"/>
      <c r="I87" s="27">
        <f>I49/720</f>
        <v>7.0571060919673814E-2</v>
      </c>
      <c r="J87" s="27">
        <f>J49/720</f>
        <v>0.1631051305922597</v>
      </c>
      <c r="K87" s="27">
        <f>K49/720</f>
        <v>0.18299047515473316</v>
      </c>
      <c r="L87" s="19"/>
      <c r="M87" s="24"/>
      <c r="P87" s="25"/>
    </row>
    <row r="88" spans="3:16" s="17" customFormat="1" ht="33.75">
      <c r="C88" s="18"/>
      <c r="D88" s="20" t="s">
        <v>168</v>
      </c>
      <c r="E88" s="47" t="s">
        <v>104</v>
      </c>
      <c r="F88" s="22" t="s">
        <v>169</v>
      </c>
      <c r="G88" s="23">
        <f t="shared" si="0"/>
        <v>-0.21931666666666666</v>
      </c>
      <c r="H88" s="23">
        <f>H85-H87</f>
        <v>0</v>
      </c>
      <c r="I88" s="23">
        <f>I85-I87</f>
        <v>2.3973383524770631E-2</v>
      </c>
      <c r="J88" s="23">
        <f>J85-J87</f>
        <v>-0.1437051305922597</v>
      </c>
      <c r="K88" s="23">
        <f>K85-K87</f>
        <v>-9.9584919599177604E-2</v>
      </c>
      <c r="L88" s="19"/>
      <c r="M88" s="24"/>
      <c r="P88" s="25"/>
    </row>
    <row r="89" spans="3:16" s="17" customFormat="1" ht="15" customHeight="1">
      <c r="C89" s="18"/>
      <c r="D89" s="20" t="s">
        <v>170</v>
      </c>
      <c r="E89" s="21" t="s">
        <v>107</v>
      </c>
      <c r="F89" s="22" t="s">
        <v>171</v>
      </c>
      <c r="G89" s="23">
        <f t="shared" si="0"/>
        <v>0</v>
      </c>
      <c r="H89" s="23">
        <f>(H53+H65+H70)-(H71+H82+H83+H84+H85)</f>
        <v>0</v>
      </c>
      <c r="I89" s="23">
        <f>(I53+I65+I70)-(I71+I82+I83+I84+I85)</f>
        <v>0</v>
      </c>
      <c r="J89" s="23">
        <f>(J53+J65+J70)-(J71+J82+J83+J84+J85)</f>
        <v>0</v>
      </c>
      <c r="K89" s="23">
        <f>(K53+K65+K70)-(K71+K82+K83+K84+K85)</f>
        <v>0</v>
      </c>
      <c r="L89" s="19"/>
      <c r="M89" s="24"/>
      <c r="P89" s="25"/>
    </row>
    <row r="90" spans="3:16" s="17" customFormat="1" ht="15" customHeight="1">
      <c r="C90" s="18"/>
      <c r="D90" s="83" t="s">
        <v>172</v>
      </c>
      <c r="E90" s="84"/>
      <c r="F90" s="84"/>
      <c r="G90" s="84"/>
      <c r="H90" s="84"/>
      <c r="I90" s="84"/>
      <c r="J90" s="84"/>
      <c r="K90" s="85"/>
      <c r="L90" s="19"/>
      <c r="M90" s="24"/>
      <c r="P90" s="45"/>
    </row>
    <row r="91" spans="3:16" s="17" customFormat="1" ht="15" customHeight="1">
      <c r="C91" s="18"/>
      <c r="D91" s="20" t="s">
        <v>173</v>
      </c>
      <c r="E91" s="21" t="s">
        <v>174</v>
      </c>
      <c r="F91" s="22" t="s">
        <v>175</v>
      </c>
      <c r="G91" s="23">
        <f t="shared" si="0"/>
        <v>0</v>
      </c>
      <c r="H91" s="27"/>
      <c r="I91" s="27"/>
      <c r="J91" s="27"/>
      <c r="K91" s="27"/>
      <c r="L91" s="19"/>
      <c r="M91" s="24"/>
      <c r="P91" s="25"/>
    </row>
    <row r="92" spans="3:16" s="17" customFormat="1" ht="15" customHeight="1">
      <c r="C92" s="18"/>
      <c r="D92" s="20" t="s">
        <v>176</v>
      </c>
      <c r="E92" s="21" t="s">
        <v>177</v>
      </c>
      <c r="F92" s="22" t="s">
        <v>178</v>
      </c>
      <c r="G92" s="23">
        <f t="shared" si="0"/>
        <v>10.55</v>
      </c>
      <c r="H92" s="27"/>
      <c r="I92" s="27">
        <v>10.55</v>
      </c>
      <c r="J92" s="27"/>
      <c r="K92" s="27"/>
      <c r="L92" s="19"/>
      <c r="M92" s="24"/>
      <c r="P92" s="25"/>
    </row>
    <row r="93" spans="3:16" s="17" customFormat="1" ht="15" customHeight="1">
      <c r="C93" s="18"/>
      <c r="D93" s="20" t="s">
        <v>179</v>
      </c>
      <c r="E93" s="21" t="s">
        <v>180</v>
      </c>
      <c r="F93" s="22" t="s">
        <v>181</v>
      </c>
      <c r="G93" s="23">
        <f t="shared" si="0"/>
        <v>0</v>
      </c>
      <c r="H93" s="27"/>
      <c r="I93" s="27"/>
      <c r="J93" s="27"/>
      <c r="K93" s="27"/>
      <c r="L93" s="19"/>
      <c r="M93" s="24"/>
      <c r="P93" s="25"/>
    </row>
    <row r="94" spans="3:16" s="17" customFormat="1" ht="15" customHeight="1">
      <c r="C94" s="18"/>
      <c r="D94" s="83" t="s">
        <v>182</v>
      </c>
      <c r="E94" s="84"/>
      <c r="F94" s="84"/>
      <c r="G94" s="84"/>
      <c r="H94" s="84"/>
      <c r="I94" s="84"/>
      <c r="J94" s="84"/>
      <c r="K94" s="85"/>
      <c r="L94" s="19"/>
      <c r="M94" s="24"/>
      <c r="P94" s="45"/>
    </row>
    <row r="95" spans="3:16" s="17" customFormat="1" ht="15" customHeight="1">
      <c r="C95" s="18"/>
      <c r="D95" s="20" t="s">
        <v>183</v>
      </c>
      <c r="E95" s="21" t="s">
        <v>184</v>
      </c>
      <c r="F95" s="22" t="s">
        <v>185</v>
      </c>
      <c r="G95" s="23">
        <f t="shared" si="0"/>
        <v>0</v>
      </c>
      <c r="H95" s="23">
        <f>SUM(H96:H97)</f>
        <v>0</v>
      </c>
      <c r="I95" s="23">
        <f>SUM(I96:I97)</f>
        <v>0</v>
      </c>
      <c r="J95" s="23">
        <f>SUM(J96:J97)</f>
        <v>0</v>
      </c>
      <c r="K95" s="23">
        <f>SUM(K96:K97)</f>
        <v>0</v>
      </c>
      <c r="L95" s="19"/>
      <c r="M95" s="24"/>
      <c r="P95" s="25"/>
    </row>
    <row r="96" spans="3:16" ht="15" customHeight="1">
      <c r="C96" s="6"/>
      <c r="D96" s="54" t="s">
        <v>186</v>
      </c>
      <c r="E96" s="26" t="s">
        <v>187</v>
      </c>
      <c r="F96" s="22" t="s">
        <v>188</v>
      </c>
      <c r="G96" s="23">
        <f t="shared" si="0"/>
        <v>0</v>
      </c>
      <c r="H96" s="55"/>
      <c r="I96" s="55"/>
      <c r="J96" s="55"/>
      <c r="K96" s="55"/>
      <c r="L96" s="13"/>
      <c r="M96" s="24"/>
      <c r="P96" s="25"/>
    </row>
    <row r="97" spans="3:16" ht="15" customHeight="1">
      <c r="C97" s="6"/>
      <c r="D97" s="54" t="s">
        <v>189</v>
      </c>
      <c r="E97" s="26" t="s">
        <v>190</v>
      </c>
      <c r="F97" s="22" t="s">
        <v>191</v>
      </c>
      <c r="G97" s="23">
        <f t="shared" si="0"/>
        <v>0</v>
      </c>
      <c r="H97" s="56">
        <f>H100</f>
        <v>0</v>
      </c>
      <c r="I97" s="56">
        <f>I100</f>
        <v>0</v>
      </c>
      <c r="J97" s="56">
        <f>J100</f>
        <v>0</v>
      </c>
      <c r="K97" s="56">
        <f>K100</f>
        <v>0</v>
      </c>
      <c r="L97" s="13"/>
      <c r="M97" s="24"/>
      <c r="P97" s="25"/>
    </row>
    <row r="98" spans="3:16" ht="15" customHeight="1">
      <c r="C98" s="6"/>
      <c r="D98" s="54" t="s">
        <v>192</v>
      </c>
      <c r="E98" s="49" t="s">
        <v>193</v>
      </c>
      <c r="F98" s="22" t="s">
        <v>194</v>
      </c>
      <c r="G98" s="23">
        <f t="shared" si="0"/>
        <v>0</v>
      </c>
      <c r="H98" s="55"/>
      <c r="I98" s="55"/>
      <c r="J98" s="55"/>
      <c r="K98" s="55"/>
      <c r="L98" s="13"/>
      <c r="M98" s="24"/>
      <c r="P98" s="25"/>
    </row>
    <row r="99" spans="3:16" ht="15" customHeight="1">
      <c r="C99" s="6"/>
      <c r="D99" s="54" t="s">
        <v>195</v>
      </c>
      <c r="E99" s="50" t="s">
        <v>196</v>
      </c>
      <c r="F99" s="22" t="s">
        <v>197</v>
      </c>
      <c r="G99" s="23">
        <f t="shared" si="0"/>
        <v>0</v>
      </c>
      <c r="H99" s="55"/>
      <c r="I99" s="55"/>
      <c r="J99" s="55"/>
      <c r="K99" s="55"/>
      <c r="L99" s="13"/>
      <c r="M99" s="24"/>
      <c r="P99" s="25"/>
    </row>
    <row r="100" spans="3:16" ht="15" customHeight="1">
      <c r="C100" s="6"/>
      <c r="D100" s="54" t="s">
        <v>198</v>
      </c>
      <c r="E100" s="49" t="s">
        <v>199</v>
      </c>
      <c r="F100" s="22" t="s">
        <v>200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/>
    </row>
    <row r="101" spans="3:16" ht="15" customHeight="1">
      <c r="C101" s="6"/>
      <c r="D101" s="54" t="s">
        <v>201</v>
      </c>
      <c r="E101" s="21" t="s">
        <v>202</v>
      </c>
      <c r="F101" s="22" t="s">
        <v>203</v>
      </c>
      <c r="G101" s="23">
        <f t="shared" si="0"/>
        <v>0</v>
      </c>
      <c r="H101" s="56">
        <f>H102+H118</f>
        <v>0</v>
      </c>
      <c r="I101" s="56">
        <f>I102+I118</f>
        <v>0</v>
      </c>
      <c r="J101" s="56">
        <f>J102+J118</f>
        <v>0</v>
      </c>
      <c r="K101" s="56">
        <f>K102+K118</f>
        <v>0</v>
      </c>
      <c r="L101" s="13"/>
      <c r="M101" s="24"/>
      <c r="P101" s="25"/>
    </row>
    <row r="102" spans="3:16" ht="15" customHeight="1">
      <c r="C102" s="6"/>
      <c r="D102" s="54" t="s">
        <v>204</v>
      </c>
      <c r="E102" s="26" t="s">
        <v>205</v>
      </c>
      <c r="F102" s="22" t="s">
        <v>206</v>
      </c>
      <c r="G102" s="23">
        <f t="shared" si="0"/>
        <v>0</v>
      </c>
      <c r="H102" s="56">
        <f>H103+H104</f>
        <v>0</v>
      </c>
      <c r="I102" s="56">
        <f>I103+I104</f>
        <v>0</v>
      </c>
      <c r="J102" s="56">
        <f>J103+J104</f>
        <v>0</v>
      </c>
      <c r="K102" s="56">
        <f>K103+K104</f>
        <v>0</v>
      </c>
      <c r="L102" s="13"/>
      <c r="M102" s="24"/>
      <c r="P102" s="25"/>
    </row>
    <row r="103" spans="3:16" ht="15" customHeight="1">
      <c r="C103" s="6"/>
      <c r="D103" s="54" t="s">
        <v>207</v>
      </c>
      <c r="E103" s="49" t="s">
        <v>208</v>
      </c>
      <c r="F103" s="22" t="s">
        <v>209</v>
      </c>
      <c r="G103" s="23">
        <f t="shared" si="0"/>
        <v>0</v>
      </c>
      <c r="H103" s="55"/>
      <c r="I103" s="55"/>
      <c r="J103" s="55"/>
      <c r="K103" s="55"/>
      <c r="L103" s="13"/>
      <c r="M103" s="24"/>
      <c r="P103" s="25"/>
    </row>
    <row r="104" spans="3:16" ht="15" customHeight="1">
      <c r="C104" s="6"/>
      <c r="D104" s="54" t="s">
        <v>210</v>
      </c>
      <c r="E104" s="49" t="s">
        <v>211</v>
      </c>
      <c r="F104" s="22" t="s">
        <v>212</v>
      </c>
      <c r="G104" s="23">
        <f t="shared" si="0"/>
        <v>0</v>
      </c>
      <c r="H104" s="56">
        <f>H105+H108+H111+H114+H115+H116+H117</f>
        <v>0</v>
      </c>
      <c r="I104" s="56">
        <f>I105+I108+I111+I114+I115+I116+I117</f>
        <v>0</v>
      </c>
      <c r="J104" s="56">
        <f>J105+J108+J111+J114+J115+J116+J117</f>
        <v>0</v>
      </c>
      <c r="K104" s="56">
        <f>K105+K108+K111+K114+K115+K116+K117</f>
        <v>0</v>
      </c>
      <c r="L104" s="13"/>
      <c r="M104" s="24"/>
      <c r="P104" s="25"/>
    </row>
    <row r="105" spans="3:16" ht="45">
      <c r="C105" s="6"/>
      <c r="D105" s="54" t="s">
        <v>213</v>
      </c>
      <c r="E105" s="50" t="s">
        <v>214</v>
      </c>
      <c r="F105" s="22" t="s">
        <v>215</v>
      </c>
      <c r="G105" s="23">
        <f t="shared" si="0"/>
        <v>0</v>
      </c>
      <c r="H105" s="57">
        <f>H106+H107</f>
        <v>0</v>
      </c>
      <c r="I105" s="57">
        <f>I106+I107</f>
        <v>0</v>
      </c>
      <c r="J105" s="57">
        <f>J106+J107</f>
        <v>0</v>
      </c>
      <c r="K105" s="57">
        <f>K106+K107</f>
        <v>0</v>
      </c>
      <c r="L105" s="13"/>
      <c r="M105" s="24"/>
      <c r="P105" s="25"/>
    </row>
    <row r="106" spans="3:16" ht="15" customHeight="1">
      <c r="C106" s="6"/>
      <c r="D106" s="54" t="s">
        <v>216</v>
      </c>
      <c r="E106" s="58" t="s">
        <v>217</v>
      </c>
      <c r="F106" s="22" t="s">
        <v>218</v>
      </c>
      <c r="G106" s="23">
        <f t="shared" si="0"/>
        <v>0</v>
      </c>
      <c r="H106" s="55"/>
      <c r="I106" s="55"/>
      <c r="J106" s="55"/>
      <c r="K106" s="55"/>
      <c r="L106" s="13"/>
      <c r="M106" s="24"/>
      <c r="P106" s="25"/>
    </row>
    <row r="107" spans="3:16" ht="15" customHeight="1">
      <c r="C107" s="6"/>
      <c r="D107" s="54" t="s">
        <v>219</v>
      </c>
      <c r="E107" s="58" t="s">
        <v>220</v>
      </c>
      <c r="F107" s="22" t="s">
        <v>221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45">
      <c r="C108" s="6"/>
      <c r="D108" s="54" t="s">
        <v>222</v>
      </c>
      <c r="E108" s="50" t="s">
        <v>223</v>
      </c>
      <c r="F108" s="22" t="s">
        <v>224</v>
      </c>
      <c r="G108" s="23">
        <f t="shared" si="0"/>
        <v>0</v>
      </c>
      <c r="H108" s="57">
        <f>H109+H110</f>
        <v>0</v>
      </c>
      <c r="I108" s="57">
        <f>I109+I110</f>
        <v>0</v>
      </c>
      <c r="J108" s="57">
        <f>J109+J110</f>
        <v>0</v>
      </c>
      <c r="K108" s="57">
        <f>K109+K110</f>
        <v>0</v>
      </c>
      <c r="L108" s="13"/>
      <c r="M108" s="24"/>
      <c r="P108" s="25"/>
    </row>
    <row r="109" spans="3:16" ht="15" customHeight="1">
      <c r="C109" s="6"/>
      <c r="D109" s="54" t="s">
        <v>225</v>
      </c>
      <c r="E109" s="58" t="s">
        <v>217</v>
      </c>
      <c r="F109" s="22" t="s">
        <v>226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15" customHeight="1">
      <c r="C110" s="6"/>
      <c r="D110" s="54" t="s">
        <v>227</v>
      </c>
      <c r="E110" s="58" t="s">
        <v>220</v>
      </c>
      <c r="F110" s="22" t="s">
        <v>228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5" customHeight="1">
      <c r="C111" s="6"/>
      <c r="D111" s="54" t="s">
        <v>229</v>
      </c>
      <c r="E111" s="50" t="s">
        <v>230</v>
      </c>
      <c r="F111" s="22" t="s">
        <v>231</v>
      </c>
      <c r="G111" s="23">
        <f t="shared" si="0"/>
        <v>0</v>
      </c>
      <c r="H111" s="57">
        <f>H112+H113</f>
        <v>0</v>
      </c>
      <c r="I111" s="57">
        <f>I112+I113</f>
        <v>0</v>
      </c>
      <c r="J111" s="57">
        <f>J112+J113</f>
        <v>0</v>
      </c>
      <c r="K111" s="57">
        <f>K112+K113</f>
        <v>0</v>
      </c>
      <c r="L111" s="13"/>
      <c r="M111" s="24"/>
      <c r="P111" s="25"/>
    </row>
    <row r="112" spans="3:16" ht="15" customHeight="1">
      <c r="C112" s="6"/>
      <c r="D112" s="54" t="s">
        <v>232</v>
      </c>
      <c r="E112" s="58" t="s">
        <v>217</v>
      </c>
      <c r="F112" s="22" t="s">
        <v>233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234</v>
      </c>
      <c r="E113" s="58" t="s">
        <v>220</v>
      </c>
      <c r="F113" s="22" t="s">
        <v>235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15" customHeight="1">
      <c r="C114" s="6"/>
      <c r="D114" s="54" t="s">
        <v>236</v>
      </c>
      <c r="E114" s="50" t="s">
        <v>237</v>
      </c>
      <c r="F114" s="22" t="s">
        <v>238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239</v>
      </c>
      <c r="E115" s="50" t="s">
        <v>240</v>
      </c>
      <c r="F115" s="22" t="s">
        <v>241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9.5" customHeight="1">
      <c r="C116" s="6"/>
      <c r="D116" s="54" t="s">
        <v>242</v>
      </c>
      <c r="E116" s="50" t="s">
        <v>243</v>
      </c>
      <c r="F116" s="22" t="s">
        <v>244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3.5" customHeight="1">
      <c r="C117" s="6"/>
      <c r="D117" s="54" t="s">
        <v>245</v>
      </c>
      <c r="E117" s="50" t="s">
        <v>246</v>
      </c>
      <c r="F117" s="22" t="s">
        <v>247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5" customHeight="1">
      <c r="C118" s="6"/>
      <c r="D118" s="54" t="s">
        <v>248</v>
      </c>
      <c r="E118" s="26" t="s">
        <v>249</v>
      </c>
      <c r="F118" s="22" t="s">
        <v>250</v>
      </c>
      <c r="G118" s="23">
        <f t="shared" si="0"/>
        <v>0</v>
      </c>
      <c r="H118" s="56">
        <f>H121</f>
        <v>0</v>
      </c>
      <c r="I118" s="56">
        <f>I121</f>
        <v>0</v>
      </c>
      <c r="J118" s="56">
        <f>J121</f>
        <v>0</v>
      </c>
      <c r="K118" s="56">
        <f>K121</f>
        <v>0</v>
      </c>
      <c r="L118" s="13"/>
      <c r="M118" s="24"/>
      <c r="P118" s="25"/>
    </row>
    <row r="119" spans="3:16" ht="15" customHeight="1">
      <c r="C119" s="6"/>
      <c r="D119" s="54" t="s">
        <v>251</v>
      </c>
      <c r="E119" s="49" t="s">
        <v>193</v>
      </c>
      <c r="F119" s="22" t="s">
        <v>252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253</v>
      </c>
      <c r="E120" s="50" t="s">
        <v>254</v>
      </c>
      <c r="F120" s="22" t="s">
        <v>255</v>
      </c>
      <c r="G120" s="23">
        <f t="shared" si="0"/>
        <v>0</v>
      </c>
      <c r="H120" s="55"/>
      <c r="I120" s="55"/>
      <c r="J120" s="55"/>
      <c r="K120" s="55"/>
      <c r="L120" s="13"/>
      <c r="M120" s="24"/>
      <c r="P120" s="25"/>
    </row>
    <row r="121" spans="3:16" ht="15" customHeight="1">
      <c r="C121" s="6"/>
      <c r="D121" s="54" t="s">
        <v>256</v>
      </c>
      <c r="E121" s="49" t="s">
        <v>199</v>
      </c>
      <c r="F121" s="22" t="s">
        <v>257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27" customHeight="1">
      <c r="C122" s="6"/>
      <c r="D122" s="54" t="s">
        <v>258</v>
      </c>
      <c r="E122" s="47" t="s">
        <v>259</v>
      </c>
      <c r="F122" s="22" t="s">
        <v>260</v>
      </c>
      <c r="G122" s="23">
        <f t="shared" si="0"/>
        <v>5051.0199999999995</v>
      </c>
      <c r="H122" s="56">
        <f>SUM(H123:H124)</f>
        <v>0</v>
      </c>
      <c r="I122" s="56">
        <f>SUM(I123:I124)</f>
        <v>4210.8130000000001</v>
      </c>
      <c r="J122" s="56">
        <f>SUM(J123:J124)</f>
        <v>254.44900000000001</v>
      </c>
      <c r="K122" s="56">
        <f>SUM(K123:K124)</f>
        <v>585.75800000000004</v>
      </c>
      <c r="L122" s="13"/>
      <c r="M122" s="24"/>
      <c r="P122" s="25"/>
    </row>
    <row r="123" spans="3:16" ht="15" customHeight="1">
      <c r="C123" s="6"/>
      <c r="D123" s="54" t="s">
        <v>261</v>
      </c>
      <c r="E123" s="26" t="s">
        <v>187</v>
      </c>
      <c r="F123" s="22" t="s">
        <v>262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5" customHeight="1">
      <c r="C124" s="6"/>
      <c r="D124" s="54" t="s">
        <v>263</v>
      </c>
      <c r="E124" s="26" t="s">
        <v>190</v>
      </c>
      <c r="F124" s="22" t="s">
        <v>264</v>
      </c>
      <c r="G124" s="23">
        <f t="shared" si="0"/>
        <v>5051.0199999999995</v>
      </c>
      <c r="H124" s="56">
        <f>H126</f>
        <v>0</v>
      </c>
      <c r="I124" s="56">
        <f>I126</f>
        <v>4210.8130000000001</v>
      </c>
      <c r="J124" s="56">
        <f>J126</f>
        <v>254.44900000000001</v>
      </c>
      <c r="K124" s="56">
        <f>K126</f>
        <v>585.75800000000004</v>
      </c>
      <c r="L124" s="13"/>
      <c r="M124" s="24"/>
      <c r="P124" s="25"/>
    </row>
    <row r="125" spans="3:16" ht="15" customHeight="1">
      <c r="C125" s="6"/>
      <c r="D125" s="54" t="s">
        <v>265</v>
      </c>
      <c r="E125" s="49" t="s">
        <v>266</v>
      </c>
      <c r="F125" s="22" t="s">
        <v>267</v>
      </c>
      <c r="G125" s="23">
        <f t="shared" si="0"/>
        <v>10.55</v>
      </c>
      <c r="H125" s="55"/>
      <c r="I125" s="55">
        <v>10.55</v>
      </c>
      <c r="J125" s="55"/>
      <c r="K125" s="55"/>
      <c r="L125" s="13"/>
      <c r="M125" s="24"/>
      <c r="P125" s="25"/>
    </row>
    <row r="126" spans="3:16" ht="15" customHeight="1">
      <c r="C126" s="6"/>
      <c r="D126" s="54" t="s">
        <v>268</v>
      </c>
      <c r="E126" s="49" t="s">
        <v>199</v>
      </c>
      <c r="F126" s="22" t="s">
        <v>269</v>
      </c>
      <c r="G126" s="23">
        <f t="shared" si="0"/>
        <v>5051.0199999999995</v>
      </c>
      <c r="H126" s="55"/>
      <c r="I126" s="55">
        <f>I33</f>
        <v>4210.8130000000001</v>
      </c>
      <c r="J126" s="55">
        <f>J33</f>
        <v>254.44900000000001</v>
      </c>
      <c r="K126" s="55">
        <f>K33</f>
        <v>585.75800000000004</v>
      </c>
      <c r="L126" s="13"/>
      <c r="M126" s="24"/>
      <c r="P126" s="25"/>
    </row>
    <row r="127" spans="3:16" ht="15" customHeight="1">
      <c r="C127" s="6"/>
      <c r="D127" s="83" t="s">
        <v>270</v>
      </c>
      <c r="E127" s="84"/>
      <c r="F127" s="84"/>
      <c r="G127" s="84"/>
      <c r="H127" s="84"/>
      <c r="I127" s="84"/>
      <c r="J127" s="84"/>
      <c r="K127" s="85"/>
      <c r="L127" s="13"/>
      <c r="M127" s="24"/>
      <c r="P127" s="59"/>
    </row>
    <row r="128" spans="3:16" ht="22.5">
      <c r="C128" s="6"/>
      <c r="D128" s="54" t="s">
        <v>271</v>
      </c>
      <c r="E128" s="21" t="s">
        <v>272</v>
      </c>
      <c r="F128" s="22" t="s">
        <v>273</v>
      </c>
      <c r="G128" s="23">
        <f t="shared" si="0"/>
        <v>0</v>
      </c>
      <c r="H128" s="56">
        <f>SUM( H129:H130)</f>
        <v>0</v>
      </c>
      <c r="I128" s="56">
        <f>SUM( I129:I130)</f>
        <v>0</v>
      </c>
      <c r="J128" s="56">
        <f>SUM( J129:J130)</f>
        <v>0</v>
      </c>
      <c r="K128" s="56">
        <f>SUM( K129:K130)</f>
        <v>0</v>
      </c>
      <c r="L128" s="13"/>
      <c r="M128" s="24"/>
      <c r="P128" s="25"/>
    </row>
    <row r="129" spans="3:16" ht="15" customHeight="1">
      <c r="C129" s="6"/>
      <c r="D129" s="54" t="s">
        <v>274</v>
      </c>
      <c r="E129" s="26" t="s">
        <v>187</v>
      </c>
      <c r="F129" s="22" t="s">
        <v>275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/>
    </row>
    <row r="130" spans="3:16" ht="15" customHeight="1">
      <c r="C130" s="6"/>
      <c r="D130" s="54" t="s">
        <v>276</v>
      </c>
      <c r="E130" s="26" t="s">
        <v>190</v>
      </c>
      <c r="F130" s="22" t="s">
        <v>277</v>
      </c>
      <c r="G130" s="23">
        <f t="shared" si="0"/>
        <v>0</v>
      </c>
      <c r="H130" s="56">
        <f>H131+H133</f>
        <v>0</v>
      </c>
      <c r="I130" s="56">
        <f>I131+I133</f>
        <v>0</v>
      </c>
      <c r="J130" s="56">
        <f>J131+J133</f>
        <v>0</v>
      </c>
      <c r="K130" s="56">
        <f>K131+K133</f>
        <v>0</v>
      </c>
      <c r="L130" s="13"/>
      <c r="M130" s="24"/>
      <c r="P130" s="25"/>
    </row>
    <row r="131" spans="3:16" ht="15" customHeight="1">
      <c r="C131" s="6"/>
      <c r="D131" s="54" t="s">
        <v>278</v>
      </c>
      <c r="E131" s="49" t="s">
        <v>279</v>
      </c>
      <c r="F131" s="22" t="s">
        <v>280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>
      <c r="C132" s="6"/>
      <c r="D132" s="54" t="s">
        <v>281</v>
      </c>
      <c r="E132" s="50" t="s">
        <v>282</v>
      </c>
      <c r="F132" s="22" t="s">
        <v>283</v>
      </c>
      <c r="G132" s="23">
        <f t="shared" si="0"/>
        <v>0</v>
      </c>
      <c r="H132" s="55"/>
      <c r="I132" s="55"/>
      <c r="J132" s="55"/>
      <c r="K132" s="55"/>
      <c r="L132" s="13"/>
      <c r="M132" s="24"/>
      <c r="P132" s="59"/>
    </row>
    <row r="133" spans="3:16" ht="15" customHeight="1">
      <c r="C133" s="6"/>
      <c r="D133" s="54" t="s">
        <v>284</v>
      </c>
      <c r="E133" s="49" t="s">
        <v>285</v>
      </c>
      <c r="F133" s="22" t="s">
        <v>286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>
      <c r="C134" s="6"/>
      <c r="D134" s="54" t="s">
        <v>29</v>
      </c>
      <c r="E134" s="21" t="s">
        <v>287</v>
      </c>
      <c r="F134" s="22" t="s">
        <v>288</v>
      </c>
      <c r="G134" s="23">
        <f t="shared" si="0"/>
        <v>0</v>
      </c>
      <c r="H134" s="57">
        <f>SUM( H135+H140)</f>
        <v>0</v>
      </c>
      <c r="I134" s="57">
        <f>SUM( I135+I140)</f>
        <v>0</v>
      </c>
      <c r="J134" s="57">
        <f>SUM( J135+J140)</f>
        <v>0</v>
      </c>
      <c r="K134" s="57">
        <f>SUM( K135+K140)</f>
        <v>0</v>
      </c>
      <c r="L134" s="60"/>
      <c r="M134" s="24"/>
      <c r="P134" s="25"/>
    </row>
    <row r="135" spans="3:16" ht="15" customHeight="1">
      <c r="C135" s="6"/>
      <c r="D135" s="54" t="s">
        <v>289</v>
      </c>
      <c r="E135" s="26" t="s">
        <v>187</v>
      </c>
      <c r="F135" s="22" t="s">
        <v>290</v>
      </c>
      <c r="G135" s="23">
        <f t="shared" ref="G135:G148" si="1">SUM(H135:K135)</f>
        <v>0</v>
      </c>
      <c r="H135" s="57">
        <f>SUM( H136:H137)</f>
        <v>0</v>
      </c>
      <c r="I135" s="57">
        <f>SUM( I136:I137)</f>
        <v>0</v>
      </c>
      <c r="J135" s="57">
        <f>SUM( J136:J137)</f>
        <v>0</v>
      </c>
      <c r="K135" s="57">
        <f>SUM( K136:K137)</f>
        <v>0</v>
      </c>
      <c r="L135" s="60"/>
      <c r="M135" s="24"/>
      <c r="P135" s="25"/>
    </row>
    <row r="136" spans="3:16" ht="15" customHeight="1">
      <c r="C136" s="6"/>
      <c r="D136" s="54" t="s">
        <v>291</v>
      </c>
      <c r="E136" s="49" t="s">
        <v>208</v>
      </c>
      <c r="F136" s="22" t="s">
        <v>292</v>
      </c>
      <c r="G136" s="23">
        <f t="shared" si="1"/>
        <v>0</v>
      </c>
      <c r="H136" s="61"/>
      <c r="I136" s="61"/>
      <c r="J136" s="61"/>
      <c r="K136" s="61"/>
      <c r="L136" s="60"/>
      <c r="M136" s="24"/>
      <c r="P136" s="25"/>
    </row>
    <row r="137" spans="3:16" ht="15" customHeight="1">
      <c r="C137" s="6"/>
      <c r="D137" s="54" t="s">
        <v>293</v>
      </c>
      <c r="E137" s="49" t="s">
        <v>211</v>
      </c>
      <c r="F137" s="22" t="s">
        <v>294</v>
      </c>
      <c r="G137" s="23">
        <f t="shared" si="1"/>
        <v>0</v>
      </c>
      <c r="H137" s="57">
        <f>H138+H139</f>
        <v>0</v>
      </c>
      <c r="I137" s="57">
        <f>I138+I139</f>
        <v>0</v>
      </c>
      <c r="J137" s="57">
        <f>J138+J139</f>
        <v>0</v>
      </c>
      <c r="K137" s="57">
        <f>K138+K139</f>
        <v>0</v>
      </c>
      <c r="L137" s="60"/>
      <c r="M137" s="24"/>
      <c r="P137" s="25"/>
    </row>
    <row r="138" spans="3:16" ht="15" customHeight="1">
      <c r="C138" s="6"/>
      <c r="D138" s="54" t="s">
        <v>295</v>
      </c>
      <c r="E138" s="50" t="s">
        <v>217</v>
      </c>
      <c r="F138" s="22" t="s">
        <v>296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297</v>
      </c>
      <c r="E139" s="50" t="s">
        <v>298</v>
      </c>
      <c r="F139" s="22" t="s">
        <v>299</v>
      </c>
      <c r="G139" s="23">
        <f t="shared" si="1"/>
        <v>0</v>
      </c>
      <c r="H139" s="61"/>
      <c r="I139" s="61"/>
      <c r="J139" s="61"/>
      <c r="K139" s="61"/>
      <c r="L139" s="60"/>
      <c r="M139" s="24"/>
      <c r="P139" s="25"/>
    </row>
    <row r="140" spans="3:16" ht="15" customHeight="1">
      <c r="C140" s="6"/>
      <c r="D140" s="54" t="s">
        <v>300</v>
      </c>
      <c r="E140" s="26" t="s">
        <v>249</v>
      </c>
      <c r="F140" s="22" t="s">
        <v>301</v>
      </c>
      <c r="G140" s="23">
        <f t="shared" si="1"/>
        <v>0</v>
      </c>
      <c r="H140" s="57">
        <f>H141+H143</f>
        <v>0</v>
      </c>
      <c r="I140" s="57">
        <f>I141+I143</f>
        <v>0</v>
      </c>
      <c r="J140" s="57">
        <f>J141+J143</f>
        <v>0</v>
      </c>
      <c r="K140" s="57">
        <f>K141+K143</f>
        <v>0</v>
      </c>
      <c r="L140" s="60"/>
      <c r="M140" s="24"/>
      <c r="P140" s="25"/>
    </row>
    <row r="141" spans="3:16" ht="15" customHeight="1">
      <c r="C141" s="6"/>
      <c r="D141" s="54" t="s">
        <v>302</v>
      </c>
      <c r="E141" s="49" t="s">
        <v>279</v>
      </c>
      <c r="F141" s="22" t="s">
        <v>303</v>
      </c>
      <c r="G141" s="23">
        <f t="shared" si="1"/>
        <v>0</v>
      </c>
      <c r="H141" s="55"/>
      <c r="I141" s="55"/>
      <c r="J141" s="55"/>
      <c r="K141" s="55"/>
      <c r="L141" s="60"/>
      <c r="M141" s="24"/>
      <c r="P141" s="25"/>
    </row>
    <row r="142" spans="3:16" ht="15" customHeight="1">
      <c r="C142" s="6"/>
      <c r="D142" s="54" t="s">
        <v>304</v>
      </c>
      <c r="E142" s="50" t="s">
        <v>282</v>
      </c>
      <c r="F142" s="22" t="s">
        <v>305</v>
      </c>
      <c r="G142" s="23">
        <f t="shared" si="1"/>
        <v>0</v>
      </c>
      <c r="H142" s="55"/>
      <c r="I142" s="55"/>
      <c r="J142" s="55"/>
      <c r="K142" s="55"/>
      <c r="L142" s="60"/>
      <c r="M142" s="24"/>
      <c r="P142" s="25"/>
    </row>
    <row r="143" spans="3:16" ht="15" customHeight="1">
      <c r="C143" s="6"/>
      <c r="D143" s="54" t="s">
        <v>306</v>
      </c>
      <c r="E143" s="49" t="s">
        <v>285</v>
      </c>
      <c r="F143" s="22" t="s">
        <v>307</v>
      </c>
      <c r="G143" s="23">
        <f t="shared" si="1"/>
        <v>0</v>
      </c>
      <c r="H143" s="62"/>
      <c r="I143" s="62"/>
      <c r="J143" s="62"/>
      <c r="K143" s="62"/>
      <c r="L143" s="60"/>
      <c r="M143" s="24"/>
      <c r="P143" s="25"/>
    </row>
    <row r="144" spans="3:16" ht="28.5" customHeight="1">
      <c r="C144" s="6"/>
      <c r="D144" s="54" t="s">
        <v>308</v>
      </c>
      <c r="E144" s="21" t="s">
        <v>309</v>
      </c>
      <c r="F144" s="22" t="s">
        <v>310</v>
      </c>
      <c r="G144" s="23">
        <f t="shared" si="1"/>
        <v>2675.6819577800006</v>
      </c>
      <c r="H144" s="63">
        <f>SUM( H145:H146)</f>
        <v>0</v>
      </c>
      <c r="I144" s="63">
        <f>SUM( I145:I146)</f>
        <v>2537.0982152000006</v>
      </c>
      <c r="J144" s="63">
        <f>SUM( J145:J146)</f>
        <v>41.968818060000004</v>
      </c>
      <c r="K144" s="63">
        <f>SUM( K145:K146)</f>
        <v>96.614924520000002</v>
      </c>
      <c r="L144" s="60"/>
      <c r="M144" s="24"/>
      <c r="P144" s="25"/>
    </row>
    <row r="145" spans="3:19" ht="15" customHeight="1">
      <c r="C145" s="6"/>
      <c r="D145" s="54" t="s">
        <v>311</v>
      </c>
      <c r="E145" s="26" t="s">
        <v>187</v>
      </c>
      <c r="F145" s="22" t="s">
        <v>312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/>
    </row>
    <row r="146" spans="3:19" ht="15" customHeight="1">
      <c r="C146" s="6"/>
      <c r="D146" s="54" t="s">
        <v>313</v>
      </c>
      <c r="E146" s="26" t="s">
        <v>190</v>
      </c>
      <c r="F146" s="22" t="s">
        <v>314</v>
      </c>
      <c r="G146" s="23">
        <f t="shared" si="1"/>
        <v>2675.6819577800006</v>
      </c>
      <c r="H146" s="63">
        <f>H147+H148</f>
        <v>0</v>
      </c>
      <c r="I146" s="63">
        <f>I147+I148</f>
        <v>2537.0982152000006</v>
      </c>
      <c r="J146" s="63">
        <f>J147+J148</f>
        <v>41.968818060000004</v>
      </c>
      <c r="K146" s="63">
        <f>K147+K148</f>
        <v>96.614924520000002</v>
      </c>
      <c r="L146" s="60"/>
      <c r="M146" s="24"/>
      <c r="P146" s="25"/>
    </row>
    <row r="147" spans="3:19" ht="15" customHeight="1">
      <c r="C147" s="6"/>
      <c r="D147" s="54" t="s">
        <v>315</v>
      </c>
      <c r="E147" s="49" t="s">
        <v>316</v>
      </c>
      <c r="F147" s="22" t="s">
        <v>317</v>
      </c>
      <c r="G147" s="23">
        <f t="shared" si="1"/>
        <v>1819.1300645000003</v>
      </c>
      <c r="H147" s="62"/>
      <c r="I147" s="62">
        <f>I125*172429.39/1000</f>
        <v>1819.1300645000003</v>
      </c>
      <c r="J147" s="62"/>
      <c r="K147" s="62"/>
      <c r="L147" s="60"/>
      <c r="M147" s="24"/>
      <c r="P147" s="25"/>
    </row>
    <row r="148" spans="3:19" ht="15" customHeight="1">
      <c r="C148" s="6"/>
      <c r="D148" s="54" t="s">
        <v>319</v>
      </c>
      <c r="E148" s="49" t="s">
        <v>285</v>
      </c>
      <c r="F148" s="22" t="s">
        <v>320</v>
      </c>
      <c r="G148" s="23">
        <f t="shared" si="1"/>
        <v>856.55189328000006</v>
      </c>
      <c r="H148" s="62"/>
      <c r="I148" s="62">
        <f>(I33+G47)*164.94/1000</f>
        <v>717.96815070000002</v>
      </c>
      <c r="J148" s="62">
        <f>J33*164.94/1000</f>
        <v>41.968818060000004</v>
      </c>
      <c r="K148" s="62">
        <f>K33*164.94/1000</f>
        <v>96.614924520000002</v>
      </c>
      <c r="L148" s="60"/>
      <c r="M148" s="24"/>
      <c r="P148" s="25"/>
    </row>
    <row r="149" spans="3:19">
      <c r="D149" s="11"/>
      <c r="E149" s="64"/>
      <c r="F149" s="64"/>
      <c r="G149" s="64"/>
      <c r="H149" s="64"/>
      <c r="I149" s="64"/>
      <c r="J149" s="64"/>
      <c r="K149" s="65"/>
      <c r="L149" s="65"/>
      <c r="M149" s="65"/>
      <c r="N149" s="65"/>
      <c r="O149" s="65"/>
      <c r="P149" s="65"/>
      <c r="Q149" s="65"/>
      <c r="R149" s="66"/>
      <c r="S149" s="66"/>
    </row>
    <row r="150" spans="3:19" ht="12.75">
      <c r="E150" s="24" t="s">
        <v>322</v>
      </c>
      <c r="F150" s="76" t="str">
        <f>IF([12]Титульный!G45="","",[12]Титульный!G45)</f>
        <v>экономист</v>
      </c>
      <c r="G150" s="76"/>
      <c r="H150" s="67"/>
      <c r="I150" s="76" t="str">
        <f>IF([12]Титульный!G44="","",[12]Титульный!G44)</f>
        <v>Гизикова А.Н.</v>
      </c>
      <c r="J150" s="76"/>
      <c r="K150" s="76"/>
      <c r="L150" s="67"/>
      <c r="M150" s="68"/>
      <c r="N150" s="68"/>
      <c r="O150" s="69"/>
      <c r="P150" s="65"/>
      <c r="Q150" s="65"/>
      <c r="R150" s="66"/>
      <c r="S150" s="66"/>
    </row>
    <row r="151" spans="3:19" ht="12.75">
      <c r="E151" s="70" t="s">
        <v>323</v>
      </c>
      <c r="F151" s="86" t="s">
        <v>324</v>
      </c>
      <c r="G151" s="86"/>
      <c r="H151" s="69"/>
      <c r="I151" s="86" t="s">
        <v>325</v>
      </c>
      <c r="J151" s="86"/>
      <c r="K151" s="86"/>
      <c r="L151" s="69"/>
      <c r="M151" s="86" t="s">
        <v>326</v>
      </c>
      <c r="N151" s="86"/>
      <c r="O151" s="24"/>
      <c r="P151" s="65"/>
      <c r="Q151" s="65"/>
      <c r="R151" s="66"/>
      <c r="S151" s="66"/>
    </row>
    <row r="152" spans="3:19" ht="12.75">
      <c r="E152" s="70" t="s">
        <v>327</v>
      </c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65"/>
      <c r="Q152" s="65"/>
      <c r="R152" s="66"/>
      <c r="S152" s="66"/>
    </row>
    <row r="153" spans="3:19" ht="12.75">
      <c r="E153" s="70" t="s">
        <v>328</v>
      </c>
      <c r="F153" s="76" t="str">
        <f>IF([12]Титульный!G46="","",[12]Титульный!G46)</f>
        <v>(861) 258-50-71</v>
      </c>
      <c r="G153" s="76"/>
      <c r="H153" s="76"/>
      <c r="I153" s="24"/>
      <c r="J153" s="70" t="s">
        <v>329</v>
      </c>
      <c r="K153" s="71"/>
      <c r="L153" s="24"/>
      <c r="M153" s="24"/>
      <c r="N153" s="24"/>
      <c r="O153" s="24"/>
      <c r="P153" s="65"/>
      <c r="Q153" s="65"/>
      <c r="R153" s="66"/>
      <c r="S153" s="66"/>
    </row>
    <row r="154" spans="3:19" ht="12.75">
      <c r="E154" s="24" t="s">
        <v>330</v>
      </c>
      <c r="F154" s="87" t="s">
        <v>331</v>
      </c>
      <c r="G154" s="87"/>
      <c r="H154" s="87"/>
      <c r="I154" s="24"/>
      <c r="J154" s="72" t="s">
        <v>332</v>
      </c>
      <c r="K154" s="72"/>
      <c r="L154" s="24"/>
      <c r="M154" s="24"/>
      <c r="N154" s="24"/>
      <c r="O154" s="24"/>
      <c r="P154" s="65"/>
      <c r="Q154" s="65"/>
      <c r="R154" s="66"/>
      <c r="S154" s="66"/>
    </row>
    <row r="155" spans="3:19"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6"/>
      <c r="S155" s="66"/>
    </row>
    <row r="156" spans="3:19"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</row>
    <row r="181" spans="5:19"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</sheetData>
  <mergeCells count="18">
    <mergeCell ref="F151:G151"/>
    <mergeCell ref="I151:K151"/>
    <mergeCell ref="M151:N151"/>
    <mergeCell ref="F153:H153"/>
    <mergeCell ref="F154:H154"/>
    <mergeCell ref="F150:G150"/>
    <mergeCell ref="I150:K150"/>
    <mergeCell ref="D8:E8"/>
    <mergeCell ref="D11:D12"/>
    <mergeCell ref="E11:E12"/>
    <mergeCell ref="F11:F12"/>
    <mergeCell ref="G11:G12"/>
    <mergeCell ref="H11:K11"/>
    <mergeCell ref="D14:K14"/>
    <mergeCell ref="D52:K52"/>
    <mergeCell ref="D90:K90"/>
    <mergeCell ref="D94:K94"/>
    <mergeCell ref="D127:K127"/>
  </mergeCells>
  <dataValidations count="2">
    <dataValidation allowBlank="1" showInputMessage="1" promptTitle="Ввод" prompt="Для выбора организации необходимо два раза нажать левую клавишу мыши!" sqref="E25 E41 E63 E79"/>
    <dataValidation type="decimal" allowBlank="1" showErrorMessage="1" errorTitle="Ошибка" error="Допускается ввод только действительных чисел!" sqref="G23:K25 G91:K93 G15:K18 G53:K56 G81:K89 G95:K126 G61:K63 G43:K51 G27:K41 G128:K148 G58:K59 G20:K21 G65:K79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tabColor indexed="31"/>
  </sheetPr>
  <dimension ref="A1:CC183"/>
  <sheetViews>
    <sheetView topLeftCell="C7" workbookViewId="0">
      <selection activeCell="D8" sqref="D8:E8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344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5757.152</v>
      </c>
      <c r="H15" s="23">
        <f>H16+H17+H20+H23</f>
        <v>0</v>
      </c>
      <c r="I15" s="23">
        <f>I16+I17+I20+I23</f>
        <v>5757.152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4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18"/>
      <c r="D19" s="41"/>
      <c r="E19" s="42" t="s">
        <v>33</v>
      </c>
      <c r="F19" s="43"/>
      <c r="G19" s="43"/>
      <c r="H19" s="43"/>
      <c r="I19" s="43"/>
      <c r="J19" s="43"/>
      <c r="K19" s="44"/>
      <c r="L19" s="19"/>
      <c r="M19" s="24"/>
      <c r="P19" s="45"/>
    </row>
    <row r="20" spans="3:16" s="17" customFormat="1" ht="15" customHeight="1">
      <c r="C20" s="18"/>
      <c r="D20" s="20" t="s">
        <v>34</v>
      </c>
      <c r="E20" s="26" t="s">
        <v>35</v>
      </c>
      <c r="F20" s="22" t="s">
        <v>36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45"/>
    </row>
    <row r="21" spans="3:16" s="17" customFormat="1" ht="12.75" hidden="1">
      <c r="C21" s="18"/>
      <c r="D21" s="28" t="s">
        <v>37</v>
      </c>
      <c r="E21" s="29"/>
      <c r="F21" s="30" t="s">
        <v>36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5" customHeight="1">
      <c r="C22" s="18"/>
      <c r="D22" s="41"/>
      <c r="E22" s="42" t="s">
        <v>33</v>
      </c>
      <c r="F22" s="43"/>
      <c r="G22" s="43"/>
      <c r="H22" s="43"/>
      <c r="I22" s="43"/>
      <c r="J22" s="43"/>
      <c r="K22" s="44"/>
      <c r="L22" s="19"/>
      <c r="M22" s="24"/>
      <c r="P22" s="45"/>
    </row>
    <row r="23" spans="3:16" s="17" customFormat="1" ht="15" customHeight="1">
      <c r="C23" s="18"/>
      <c r="D23" s="20" t="s">
        <v>38</v>
      </c>
      <c r="E23" s="26" t="s">
        <v>39</v>
      </c>
      <c r="F23" s="22" t="s">
        <v>40</v>
      </c>
      <c r="G23" s="23">
        <f t="shared" si="0"/>
        <v>5757.152</v>
      </c>
      <c r="H23" s="23">
        <f>SUM(H24:H26)</f>
        <v>0</v>
      </c>
      <c r="I23" s="23">
        <f>SUM(I24:I26)</f>
        <v>5757.152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hidden="1">
      <c r="C24" s="18"/>
      <c r="D24" s="28" t="s">
        <v>41</v>
      </c>
      <c r="E24" s="29"/>
      <c r="F24" s="30" t="s">
        <v>40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customHeight="1">
      <c r="C25" s="32" t="s">
        <v>30</v>
      </c>
      <c r="D25" s="33" t="s">
        <v>42</v>
      </c>
      <c r="E25" s="34" t="s">
        <v>43</v>
      </c>
      <c r="F25" s="35">
        <v>431</v>
      </c>
      <c r="G25" s="36">
        <f>SUM(H25:K25)</f>
        <v>5757.152</v>
      </c>
      <c r="H25" s="37"/>
      <c r="I25" s="37">
        <f>5757152/1000</f>
        <v>5757.152</v>
      </c>
      <c r="J25" s="37"/>
      <c r="K25" s="38"/>
      <c r="L25" s="19"/>
      <c r="M25" s="39"/>
      <c r="N25" s="40"/>
      <c r="O25" s="40"/>
    </row>
    <row r="26" spans="3:16" s="17" customFormat="1" ht="15" customHeight="1">
      <c r="C26" s="18"/>
      <c r="D26" s="41"/>
      <c r="E26" s="42" t="s">
        <v>33</v>
      </c>
      <c r="F26" s="43"/>
      <c r="G26" s="43"/>
      <c r="H26" s="43"/>
      <c r="I26" s="43"/>
      <c r="J26" s="43"/>
      <c r="K26" s="44"/>
      <c r="L26" s="19"/>
      <c r="M26" s="24"/>
      <c r="P26" s="25"/>
    </row>
    <row r="27" spans="3:16" s="17" customFormat="1" ht="15" customHeight="1">
      <c r="C27" s="18"/>
      <c r="D27" s="20" t="s">
        <v>44</v>
      </c>
      <c r="E27" s="21" t="s">
        <v>45</v>
      </c>
      <c r="F27" s="22" t="s">
        <v>46</v>
      </c>
      <c r="G27" s="23">
        <f t="shared" si="0"/>
        <v>1686.4780000000001</v>
      </c>
      <c r="H27" s="23">
        <f>H29+H30+H31</f>
        <v>0</v>
      </c>
      <c r="I27" s="23">
        <f>I28+I30+I31</f>
        <v>0</v>
      </c>
      <c r="J27" s="23">
        <f>J28+J29+J31</f>
        <v>984.57</v>
      </c>
      <c r="K27" s="23">
        <f>K28+K29+K30</f>
        <v>701.90800000000002</v>
      </c>
      <c r="L27" s="19"/>
      <c r="M27" s="24"/>
      <c r="P27" s="25"/>
    </row>
    <row r="28" spans="3:16" s="17" customFormat="1" ht="15" customHeight="1">
      <c r="C28" s="18"/>
      <c r="D28" s="20" t="s">
        <v>47</v>
      </c>
      <c r="E28" s="26" t="s">
        <v>17</v>
      </c>
      <c r="F28" s="22" t="s">
        <v>48</v>
      </c>
      <c r="G28" s="23">
        <f t="shared" si="0"/>
        <v>0</v>
      </c>
      <c r="H28" s="46"/>
      <c r="I28" s="27"/>
      <c r="J28" s="27"/>
      <c r="K28" s="27"/>
      <c r="L28" s="19"/>
      <c r="M28" s="24"/>
      <c r="P28" s="25"/>
    </row>
    <row r="29" spans="3:16" s="17" customFormat="1" ht="15" customHeight="1">
      <c r="C29" s="18"/>
      <c r="D29" s="20" t="s">
        <v>49</v>
      </c>
      <c r="E29" s="26" t="s">
        <v>18</v>
      </c>
      <c r="F29" s="22" t="s">
        <v>50</v>
      </c>
      <c r="G29" s="23">
        <f t="shared" si="0"/>
        <v>984.57</v>
      </c>
      <c r="H29" s="27"/>
      <c r="I29" s="46"/>
      <c r="J29" s="27">
        <f>I15-I33-I47</f>
        <v>984.57</v>
      </c>
      <c r="K29" s="27"/>
      <c r="L29" s="19"/>
      <c r="M29" s="24"/>
      <c r="P29" s="25"/>
    </row>
    <row r="30" spans="3:16" s="17" customFormat="1" ht="15" customHeight="1">
      <c r="C30" s="18"/>
      <c r="D30" s="20" t="s">
        <v>51</v>
      </c>
      <c r="E30" s="26" t="s">
        <v>19</v>
      </c>
      <c r="F30" s="22" t="s">
        <v>52</v>
      </c>
      <c r="G30" s="23">
        <f t="shared" si="0"/>
        <v>701.90800000000002</v>
      </c>
      <c r="H30" s="27"/>
      <c r="I30" s="27"/>
      <c r="J30" s="46"/>
      <c r="K30" s="27">
        <f>J15+J27-J33-J47</f>
        <v>701.90800000000002</v>
      </c>
      <c r="L30" s="19"/>
      <c r="M30" s="24"/>
      <c r="P30" s="25"/>
    </row>
    <row r="31" spans="3:16" s="17" customFormat="1" ht="15" customHeight="1">
      <c r="C31" s="18"/>
      <c r="D31" s="20" t="s">
        <v>53</v>
      </c>
      <c r="E31" s="26" t="s">
        <v>54</v>
      </c>
      <c r="F31" s="22" t="s">
        <v>55</v>
      </c>
      <c r="G31" s="23">
        <f t="shared" si="0"/>
        <v>0</v>
      </c>
      <c r="H31" s="27"/>
      <c r="I31" s="27"/>
      <c r="J31" s="27"/>
      <c r="K31" s="46"/>
      <c r="L31" s="19"/>
      <c r="M31" s="24"/>
      <c r="P31" s="25"/>
    </row>
    <row r="32" spans="3:16" s="17" customFormat="1" ht="15" customHeight="1">
      <c r="C32" s="18"/>
      <c r="D32" s="20" t="s">
        <v>56</v>
      </c>
      <c r="E32" s="47" t="s">
        <v>57</v>
      </c>
      <c r="F32" s="22" t="s">
        <v>58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5" customHeight="1">
      <c r="C33" s="18"/>
      <c r="D33" s="20" t="s">
        <v>59</v>
      </c>
      <c r="E33" s="21" t="s">
        <v>60</v>
      </c>
      <c r="F33" s="48" t="s">
        <v>61</v>
      </c>
      <c r="G33" s="23">
        <f t="shared" si="0"/>
        <v>5597.9040000000005</v>
      </c>
      <c r="H33" s="23">
        <f>H34+H36+H39+H43</f>
        <v>0</v>
      </c>
      <c r="I33" s="23">
        <f>I34+I36+I39+I43</f>
        <v>4750.75</v>
      </c>
      <c r="J33" s="23">
        <f>J34+J36+J39+J43</f>
        <v>259.75200000000001</v>
      </c>
      <c r="K33" s="23">
        <f>K34+K36+K39+K43</f>
        <v>587.40200000000004</v>
      </c>
      <c r="L33" s="19"/>
      <c r="M33" s="24"/>
      <c r="P33" s="25"/>
    </row>
    <row r="34" spans="3:16" s="17" customFormat="1" ht="22.5">
      <c r="C34" s="18"/>
      <c r="D34" s="20" t="s">
        <v>62</v>
      </c>
      <c r="E34" s="26" t="s">
        <v>63</v>
      </c>
      <c r="F34" s="22" t="s">
        <v>64</v>
      </c>
      <c r="G34" s="23">
        <f t="shared" si="0"/>
        <v>0</v>
      </c>
      <c r="H34" s="27"/>
      <c r="I34" s="27"/>
      <c r="J34" s="27"/>
      <c r="K34" s="27"/>
      <c r="L34" s="19"/>
      <c r="M34" s="24"/>
      <c r="P34" s="25"/>
    </row>
    <row r="35" spans="3:16" s="17" customFormat="1" ht="15" customHeight="1">
      <c r="C35" s="18"/>
      <c r="D35" s="20" t="s">
        <v>65</v>
      </c>
      <c r="E35" s="49" t="s">
        <v>66</v>
      </c>
      <c r="F35" s="22" t="s">
        <v>67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68</v>
      </c>
      <c r="E36" s="26" t="s">
        <v>69</v>
      </c>
      <c r="F36" s="22" t="s">
        <v>70</v>
      </c>
      <c r="G36" s="23">
        <f t="shared" si="0"/>
        <v>1583.6010000000001</v>
      </c>
      <c r="H36" s="27"/>
      <c r="I36" s="27">
        <f>736447/1000</f>
        <v>736.447</v>
      </c>
      <c r="J36" s="27">
        <f>259752/1000</f>
        <v>259.75200000000001</v>
      </c>
      <c r="K36" s="27">
        <f>587402/1000</f>
        <v>587.40200000000004</v>
      </c>
      <c r="L36" s="19"/>
      <c r="M36" s="24"/>
      <c r="P36" s="25"/>
    </row>
    <row r="37" spans="3:16" s="17" customFormat="1" ht="15" customHeight="1">
      <c r="C37" s="18"/>
      <c r="D37" s="20" t="s">
        <v>71</v>
      </c>
      <c r="E37" s="49" t="s">
        <v>72</v>
      </c>
      <c r="F37" s="22" t="s">
        <v>73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5" customHeight="1">
      <c r="C38" s="18"/>
      <c r="D38" s="20" t="s">
        <v>74</v>
      </c>
      <c r="E38" s="50" t="s">
        <v>66</v>
      </c>
      <c r="F38" s="22" t="s">
        <v>75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76</v>
      </c>
      <c r="E39" s="26" t="s">
        <v>77</v>
      </c>
      <c r="F39" s="22" t="s">
        <v>78</v>
      </c>
      <c r="G39" s="23">
        <f t="shared" si="0"/>
        <v>4014.3029999999999</v>
      </c>
      <c r="H39" s="23">
        <f>SUM(H40:H42)</f>
        <v>0</v>
      </c>
      <c r="I39" s="23">
        <f>SUM(I40:I42)</f>
        <v>4014.3029999999999</v>
      </c>
      <c r="J39" s="23">
        <f>SUM(J40:J42)</f>
        <v>0</v>
      </c>
      <c r="K39" s="23">
        <f>SUM(K40:K42)</f>
        <v>0</v>
      </c>
      <c r="L39" s="19"/>
      <c r="M39" s="24"/>
      <c r="P39" s="25"/>
    </row>
    <row r="40" spans="3:16" s="17" customFormat="1" ht="12.75" hidden="1">
      <c r="C40" s="18"/>
      <c r="D40" s="28" t="s">
        <v>79</v>
      </c>
      <c r="E40" s="29"/>
      <c r="F40" s="30" t="s">
        <v>78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5" customHeight="1">
      <c r="C41" s="32" t="s">
        <v>30</v>
      </c>
      <c r="D41" s="33" t="s">
        <v>80</v>
      </c>
      <c r="E41" s="34" t="s">
        <v>81</v>
      </c>
      <c r="F41" s="35">
        <v>751</v>
      </c>
      <c r="G41" s="36">
        <f>SUM(H41:K41)</f>
        <v>4014.3029999999999</v>
      </c>
      <c r="H41" s="37"/>
      <c r="I41" s="37">
        <f>4014303/1000</f>
        <v>4014.3029999999999</v>
      </c>
      <c r="J41" s="37"/>
      <c r="K41" s="38"/>
      <c r="L41" s="19"/>
      <c r="M41" s="39"/>
      <c r="N41" s="40"/>
      <c r="O41" s="40"/>
    </row>
    <row r="42" spans="3:16" s="17" customFormat="1" ht="15" customHeight="1">
      <c r="C42" s="18"/>
      <c r="D42" s="51"/>
      <c r="E42" s="42" t="s">
        <v>33</v>
      </c>
      <c r="F42" s="43"/>
      <c r="G42" s="43"/>
      <c r="H42" s="43"/>
      <c r="I42" s="43"/>
      <c r="J42" s="43"/>
      <c r="K42" s="44"/>
      <c r="L42" s="19"/>
      <c r="M42" s="24"/>
      <c r="P42" s="25"/>
    </row>
    <row r="43" spans="3:16" s="17" customFormat="1" ht="15" customHeight="1">
      <c r="C43" s="18"/>
      <c r="D43" s="20" t="s">
        <v>82</v>
      </c>
      <c r="E43" s="52" t="s">
        <v>83</v>
      </c>
      <c r="F43" s="22" t="s">
        <v>84</v>
      </c>
      <c r="G43" s="23">
        <f t="shared" si="0"/>
        <v>0</v>
      </c>
      <c r="H43" s="27"/>
      <c r="I43" s="27"/>
      <c r="J43" s="27"/>
      <c r="K43" s="27"/>
      <c r="L43" s="19"/>
      <c r="M43" s="24"/>
      <c r="P43" s="25"/>
    </row>
    <row r="44" spans="3:16" s="17" customFormat="1" ht="15" customHeight="1">
      <c r="C44" s="18"/>
      <c r="D44" s="20" t="s">
        <v>85</v>
      </c>
      <c r="E44" s="21" t="s">
        <v>86</v>
      </c>
      <c r="F44" s="22" t="s">
        <v>87</v>
      </c>
      <c r="G44" s="23">
        <f t="shared" si="0"/>
        <v>1686.4780000000001</v>
      </c>
      <c r="H44" s="27"/>
      <c r="I44" s="27">
        <f>I15-I33-I47</f>
        <v>984.57</v>
      </c>
      <c r="J44" s="27">
        <f>J29-J36-J47</f>
        <v>701.90800000000002</v>
      </c>
      <c r="K44" s="27"/>
      <c r="L44" s="19"/>
      <c r="M44" s="24"/>
      <c r="P44" s="25"/>
    </row>
    <row r="45" spans="3:16" s="17" customFormat="1" ht="15" customHeight="1">
      <c r="C45" s="18"/>
      <c r="D45" s="20" t="s">
        <v>88</v>
      </c>
      <c r="E45" s="21" t="s">
        <v>89</v>
      </c>
      <c r="F45" s="22" t="s">
        <v>90</v>
      </c>
      <c r="G45" s="23">
        <f t="shared" si="0"/>
        <v>0</v>
      </c>
      <c r="H45" s="27"/>
      <c r="I45" s="27"/>
      <c r="J45" s="27"/>
      <c r="K45" s="27"/>
      <c r="L45" s="19"/>
      <c r="M45" s="24"/>
      <c r="P45" s="25"/>
    </row>
    <row r="46" spans="3:16" s="17" customFormat="1" ht="15" customHeight="1">
      <c r="C46" s="18"/>
      <c r="D46" s="20" t="s">
        <v>91</v>
      </c>
      <c r="E46" s="21" t="s">
        <v>92</v>
      </c>
      <c r="F46" s="22" t="s">
        <v>93</v>
      </c>
      <c r="G46" s="23">
        <f t="shared" si="0"/>
        <v>0</v>
      </c>
      <c r="H46" s="27"/>
      <c r="I46" s="27"/>
      <c r="J46" s="27"/>
      <c r="K46" s="27"/>
      <c r="L46" s="19"/>
      <c r="M46" s="24"/>
      <c r="P46" s="25"/>
    </row>
    <row r="47" spans="3:16" s="17" customFormat="1" ht="15" customHeight="1">
      <c r="C47" s="18"/>
      <c r="D47" s="20" t="s">
        <v>94</v>
      </c>
      <c r="E47" s="21" t="s">
        <v>95</v>
      </c>
      <c r="F47" s="22" t="s">
        <v>96</v>
      </c>
      <c r="G47" s="23">
        <f t="shared" si="0"/>
        <v>159.24799999999999</v>
      </c>
      <c r="H47" s="27"/>
      <c r="I47" s="27">
        <f>21832/1000</f>
        <v>21.832000000000001</v>
      </c>
      <c r="J47" s="27">
        <f>22910/1000</f>
        <v>22.91</v>
      </c>
      <c r="K47" s="27">
        <f>114506/1000</f>
        <v>114.506</v>
      </c>
      <c r="L47" s="19"/>
      <c r="M47" s="24"/>
      <c r="P47" s="25"/>
    </row>
    <row r="48" spans="3:16" s="17" customFormat="1" ht="15" customHeight="1">
      <c r="C48" s="18"/>
      <c r="D48" s="20" t="s">
        <v>97</v>
      </c>
      <c r="E48" s="26" t="s">
        <v>98</v>
      </c>
      <c r="F48" s="22" t="s">
        <v>99</v>
      </c>
      <c r="G48" s="23">
        <f t="shared" si="0"/>
        <v>0</v>
      </c>
      <c r="H48" s="27"/>
      <c r="I48" s="27"/>
      <c r="J48" s="27"/>
      <c r="K48" s="27"/>
      <c r="L48" s="19"/>
      <c r="M48" s="24"/>
      <c r="P48" s="25"/>
    </row>
    <row r="49" spans="3:16" s="17" customFormat="1" ht="15" customHeight="1">
      <c r="C49" s="18"/>
      <c r="D49" s="20" t="s">
        <v>100</v>
      </c>
      <c r="E49" s="21" t="s">
        <v>101</v>
      </c>
      <c r="F49" s="22" t="s">
        <v>102</v>
      </c>
      <c r="G49" s="23">
        <f t="shared" si="0"/>
        <v>300</v>
      </c>
      <c r="H49" s="27"/>
      <c r="I49" s="27">
        <v>50.811163862165145</v>
      </c>
      <c r="J49" s="27">
        <v>117.43569402642699</v>
      </c>
      <c r="K49" s="27">
        <v>131.75314211140787</v>
      </c>
      <c r="L49" s="19"/>
      <c r="M49" s="24"/>
      <c r="P49" s="45"/>
    </row>
    <row r="50" spans="3:16" s="17" customFormat="1" ht="33.75">
      <c r="C50" s="18"/>
      <c r="D50" s="20" t="s">
        <v>103</v>
      </c>
      <c r="E50" s="47" t="s">
        <v>104</v>
      </c>
      <c r="F50" s="22" t="s">
        <v>105</v>
      </c>
      <c r="G50" s="23">
        <f t="shared" si="0"/>
        <v>-140.75200000000001</v>
      </c>
      <c r="H50" s="23">
        <f>H47-H49</f>
        <v>0</v>
      </c>
      <c r="I50" s="23">
        <f>I47-I49</f>
        <v>-28.979163862165144</v>
      </c>
      <c r="J50" s="23">
        <f>J47-J49</f>
        <v>-94.52569402642699</v>
      </c>
      <c r="K50" s="23">
        <f>K47-K49</f>
        <v>-17.247142111407868</v>
      </c>
      <c r="L50" s="19"/>
      <c r="M50" s="24"/>
      <c r="P50" s="45"/>
    </row>
    <row r="51" spans="3:16" s="17" customFormat="1" ht="15" customHeight="1">
      <c r="C51" s="18"/>
      <c r="D51" s="20" t="s">
        <v>106</v>
      </c>
      <c r="E51" s="21" t="s">
        <v>107</v>
      </c>
      <c r="F51" s="22" t="s">
        <v>108</v>
      </c>
      <c r="G51" s="23">
        <f t="shared" si="0"/>
        <v>0</v>
      </c>
      <c r="H51" s="23">
        <f>(H15+H27+H32)-(H33+H44+H45+H46+H47)</f>
        <v>0</v>
      </c>
      <c r="I51" s="23">
        <f>(I15+I27+I32)-(I33+I44+I45+I46+I47)</f>
        <v>0</v>
      </c>
      <c r="J51" s="23">
        <f>(J15+J27+J32)-(J33+J44+J45+J46+J47)</f>
        <v>0</v>
      </c>
      <c r="K51" s="23">
        <f>(K15+K27+K32)-(K33+K44+K45+K46+K47)</f>
        <v>0</v>
      </c>
      <c r="L51" s="19"/>
      <c r="M51" s="24"/>
      <c r="P51" s="25"/>
    </row>
    <row r="52" spans="3:16" s="17" customFormat="1" ht="15" customHeight="1">
      <c r="C52" s="18"/>
      <c r="D52" s="83" t="s">
        <v>109</v>
      </c>
      <c r="E52" s="84"/>
      <c r="F52" s="84"/>
      <c r="G52" s="84"/>
      <c r="H52" s="84"/>
      <c r="I52" s="84"/>
      <c r="J52" s="84"/>
      <c r="K52" s="85"/>
      <c r="L52" s="19"/>
      <c r="M52" s="24"/>
      <c r="P52" s="45"/>
    </row>
    <row r="53" spans="3:16" s="17" customFormat="1" ht="15" customHeight="1">
      <c r="C53" s="18"/>
      <c r="D53" s="20" t="s">
        <v>110</v>
      </c>
      <c r="E53" s="21" t="s">
        <v>23</v>
      </c>
      <c r="F53" s="22" t="s">
        <v>111</v>
      </c>
      <c r="G53" s="23">
        <f t="shared" si="0"/>
        <v>7.7381075268817208</v>
      </c>
      <c r="H53" s="23">
        <f>H54+H55+H58+H61</f>
        <v>0</v>
      </c>
      <c r="I53" s="23">
        <f>I54+I55+I58+I61</f>
        <v>7.7381075268817208</v>
      </c>
      <c r="J53" s="23">
        <f>J54+J55+J58+J61</f>
        <v>0</v>
      </c>
      <c r="K53" s="23">
        <f>K54+K55+K58+K61</f>
        <v>0</v>
      </c>
      <c r="L53" s="19"/>
      <c r="M53" s="24"/>
      <c r="P53" s="25"/>
    </row>
    <row r="54" spans="3:16" s="17" customFormat="1" ht="15" customHeight="1">
      <c r="C54" s="18"/>
      <c r="D54" s="20" t="s">
        <v>112</v>
      </c>
      <c r="E54" s="26" t="s">
        <v>25</v>
      </c>
      <c r="F54" s="22" t="s">
        <v>113</v>
      </c>
      <c r="G54" s="23">
        <f t="shared" si="0"/>
        <v>0</v>
      </c>
      <c r="H54" s="27"/>
      <c r="I54" s="27"/>
      <c r="J54" s="27"/>
      <c r="K54" s="27"/>
      <c r="L54" s="19"/>
      <c r="M54" s="24"/>
      <c r="P54" s="25"/>
    </row>
    <row r="55" spans="3:16" s="17" customFormat="1" ht="15" customHeight="1">
      <c r="C55" s="18"/>
      <c r="D55" s="20" t="s">
        <v>114</v>
      </c>
      <c r="E55" s="26" t="s">
        <v>27</v>
      </c>
      <c r="F55" s="22" t="s">
        <v>115</v>
      </c>
      <c r="G55" s="23">
        <f t="shared" si="0"/>
        <v>0</v>
      </c>
      <c r="H55" s="23">
        <f>SUM(H56:H57)</f>
        <v>0</v>
      </c>
      <c r="I55" s="23">
        <f>SUM(I56:I57)</f>
        <v>0</v>
      </c>
      <c r="J55" s="23">
        <f>SUM(J56:J57)</f>
        <v>0</v>
      </c>
      <c r="K55" s="23">
        <f>SUM(K56:K57)</f>
        <v>0</v>
      </c>
      <c r="L55" s="19"/>
      <c r="M55" s="24"/>
      <c r="P55" s="25"/>
    </row>
    <row r="56" spans="3:16" s="17" customFormat="1" ht="12.75" hidden="1">
      <c r="C56" s="18"/>
      <c r="D56" s="28" t="s">
        <v>116</v>
      </c>
      <c r="E56" s="29"/>
      <c r="F56" s="30" t="s">
        <v>115</v>
      </c>
      <c r="G56" s="31"/>
      <c r="H56" s="31"/>
      <c r="I56" s="31"/>
      <c r="J56" s="31"/>
      <c r="K56" s="31"/>
      <c r="L56" s="19"/>
      <c r="M56" s="24"/>
      <c r="P56" s="25"/>
    </row>
    <row r="57" spans="3:16" s="17" customFormat="1" ht="15" customHeight="1">
      <c r="C57" s="18"/>
      <c r="D57" s="41"/>
      <c r="E57" s="42" t="s">
        <v>33</v>
      </c>
      <c r="F57" s="43"/>
      <c r="G57" s="43"/>
      <c r="H57" s="43"/>
      <c r="I57" s="43"/>
      <c r="J57" s="43"/>
      <c r="K57" s="44"/>
      <c r="L57" s="19"/>
      <c r="M57" s="24"/>
      <c r="P57" s="25"/>
    </row>
    <row r="58" spans="3:16" s="17" customFormat="1" ht="15" customHeight="1">
      <c r="C58" s="18"/>
      <c r="D58" s="20" t="s">
        <v>118</v>
      </c>
      <c r="E58" s="26" t="s">
        <v>35</v>
      </c>
      <c r="F58" s="22" t="s">
        <v>119</v>
      </c>
      <c r="G58" s="23">
        <f t="shared" si="0"/>
        <v>0</v>
      </c>
      <c r="H58" s="23">
        <f>SUM(H59:H60)</f>
        <v>0</v>
      </c>
      <c r="I58" s="23">
        <f>SUM(I59:I60)</f>
        <v>0</v>
      </c>
      <c r="J58" s="23">
        <f>SUM(J59:J60)</f>
        <v>0</v>
      </c>
      <c r="K58" s="23">
        <f>SUM(K59:K60)</f>
        <v>0</v>
      </c>
      <c r="L58" s="19"/>
      <c r="M58" s="24"/>
      <c r="P58" s="25"/>
    </row>
    <row r="59" spans="3:16" s="17" customFormat="1" ht="12.75" hidden="1" customHeight="1">
      <c r="C59" s="18"/>
      <c r="D59" s="28" t="s">
        <v>120</v>
      </c>
      <c r="E59" s="29"/>
      <c r="F59" s="30" t="s">
        <v>119</v>
      </c>
      <c r="G59" s="31"/>
      <c r="H59" s="31"/>
      <c r="I59" s="31"/>
      <c r="J59" s="31"/>
      <c r="K59" s="31"/>
      <c r="L59" s="19"/>
      <c r="M59" s="24"/>
      <c r="P59" s="25"/>
    </row>
    <row r="60" spans="3:16" s="17" customFormat="1" ht="15" customHeight="1">
      <c r="C60" s="18"/>
      <c r="D60" s="41"/>
      <c r="E60" s="42" t="s">
        <v>33</v>
      </c>
      <c r="F60" s="43"/>
      <c r="G60" s="43"/>
      <c r="H60" s="43"/>
      <c r="I60" s="43"/>
      <c r="J60" s="43"/>
      <c r="K60" s="44"/>
      <c r="L60" s="19"/>
      <c r="M60" s="24"/>
      <c r="P60" s="25"/>
    </row>
    <row r="61" spans="3:16" s="17" customFormat="1" ht="15" customHeight="1">
      <c r="C61" s="18"/>
      <c r="D61" s="20" t="s">
        <v>121</v>
      </c>
      <c r="E61" s="26" t="s">
        <v>39</v>
      </c>
      <c r="F61" s="22" t="s">
        <v>122</v>
      </c>
      <c r="G61" s="23">
        <f t="shared" si="0"/>
        <v>7.7381075268817208</v>
      </c>
      <c r="H61" s="23">
        <f>SUM(H62:H64)</f>
        <v>0</v>
      </c>
      <c r="I61" s="23">
        <f>SUM(I62:I64)</f>
        <v>7.7381075268817208</v>
      </c>
      <c r="J61" s="23">
        <f>SUM(J62:J64)</f>
        <v>0</v>
      </c>
      <c r="K61" s="23">
        <f>SUM(K62:K64)</f>
        <v>0</v>
      </c>
      <c r="L61" s="19"/>
      <c r="M61" s="24"/>
      <c r="P61" s="25"/>
    </row>
    <row r="62" spans="3:16" s="17" customFormat="1" ht="12.75" hidden="1" customHeight="1">
      <c r="C62" s="18"/>
      <c r="D62" s="28" t="s">
        <v>123</v>
      </c>
      <c r="E62" s="29"/>
      <c r="F62" s="30" t="s">
        <v>122</v>
      </c>
      <c r="G62" s="31"/>
      <c r="H62" s="31"/>
      <c r="I62" s="31"/>
      <c r="J62" s="31"/>
      <c r="K62" s="31"/>
      <c r="L62" s="19"/>
      <c r="M62" s="24"/>
      <c r="P62" s="25"/>
    </row>
    <row r="63" spans="3:16" s="17" customFormat="1" ht="15" customHeight="1">
      <c r="C63" s="32" t="s">
        <v>30</v>
      </c>
      <c r="D63" s="33" t="s">
        <v>124</v>
      </c>
      <c r="E63" s="34" t="s">
        <v>43</v>
      </c>
      <c r="F63" s="35">
        <v>1461</v>
      </c>
      <c r="G63" s="36">
        <f>SUM(H63:K63)</f>
        <v>7.7381075268817208</v>
      </c>
      <c r="H63" s="37"/>
      <c r="I63" s="37">
        <f>I25/744</f>
        <v>7.7381075268817208</v>
      </c>
      <c r="J63" s="37"/>
      <c r="K63" s="38"/>
      <c r="L63" s="19"/>
      <c r="M63" s="39"/>
      <c r="N63" s="40"/>
      <c r="O63" s="40"/>
    </row>
    <row r="64" spans="3:16" s="17" customFormat="1" ht="15" customHeight="1">
      <c r="C64" s="18"/>
      <c r="D64" s="41"/>
      <c r="E64" s="42" t="s">
        <v>33</v>
      </c>
      <c r="F64" s="43"/>
      <c r="G64" s="43"/>
      <c r="H64" s="43"/>
      <c r="I64" s="43"/>
      <c r="J64" s="43"/>
      <c r="K64" s="44"/>
      <c r="L64" s="19"/>
      <c r="M64" s="24"/>
      <c r="P64" s="25"/>
    </row>
    <row r="65" spans="3:16" s="17" customFormat="1" ht="15" customHeight="1">
      <c r="C65" s="18"/>
      <c r="D65" s="20" t="s">
        <v>125</v>
      </c>
      <c r="E65" s="21" t="s">
        <v>45</v>
      </c>
      <c r="F65" s="22" t="s">
        <v>126</v>
      </c>
      <c r="G65" s="23">
        <f t="shared" si="0"/>
        <v>2.2667715053763442</v>
      </c>
      <c r="H65" s="23">
        <f>H67+H68+H69</f>
        <v>0</v>
      </c>
      <c r="I65" s="23">
        <f>I66+I68+I69</f>
        <v>0</v>
      </c>
      <c r="J65" s="23">
        <f>J66+J67+J69</f>
        <v>1.3233467741935485</v>
      </c>
      <c r="K65" s="23">
        <f>K66+K67+K68</f>
        <v>0.94342473118279568</v>
      </c>
      <c r="L65" s="19"/>
      <c r="M65" s="24"/>
      <c r="P65" s="25"/>
    </row>
    <row r="66" spans="3:16" s="17" customFormat="1" ht="15" customHeight="1">
      <c r="C66" s="18"/>
      <c r="D66" s="20" t="s">
        <v>127</v>
      </c>
      <c r="E66" s="26" t="s">
        <v>17</v>
      </c>
      <c r="F66" s="22" t="s">
        <v>128</v>
      </c>
      <c r="G66" s="23">
        <f t="shared" si="0"/>
        <v>0</v>
      </c>
      <c r="H66" s="46"/>
      <c r="I66" s="27"/>
      <c r="J66" s="27"/>
      <c r="K66" s="27"/>
      <c r="L66" s="19"/>
      <c r="M66" s="24"/>
      <c r="P66" s="25"/>
    </row>
    <row r="67" spans="3:16" s="17" customFormat="1" ht="15" customHeight="1">
      <c r="C67" s="18"/>
      <c r="D67" s="20" t="s">
        <v>129</v>
      </c>
      <c r="E67" s="26" t="s">
        <v>18</v>
      </c>
      <c r="F67" s="22" t="s">
        <v>130</v>
      </c>
      <c r="G67" s="23">
        <f t="shared" si="0"/>
        <v>1.3233467741935485</v>
      </c>
      <c r="H67" s="27"/>
      <c r="I67" s="53"/>
      <c r="J67" s="27">
        <f>J29/744</f>
        <v>1.3233467741935485</v>
      </c>
      <c r="K67" s="27"/>
      <c r="L67" s="19"/>
      <c r="M67" s="24"/>
      <c r="P67" s="25"/>
    </row>
    <row r="68" spans="3:16" s="17" customFormat="1" ht="15" customHeight="1">
      <c r="C68" s="18"/>
      <c r="D68" s="20" t="s">
        <v>131</v>
      </c>
      <c r="E68" s="26" t="s">
        <v>19</v>
      </c>
      <c r="F68" s="22" t="s">
        <v>132</v>
      </c>
      <c r="G68" s="23">
        <f t="shared" si="0"/>
        <v>0.94342473118279568</v>
      </c>
      <c r="H68" s="27"/>
      <c r="I68" s="27"/>
      <c r="J68" s="46"/>
      <c r="K68" s="27">
        <f>K30/744</f>
        <v>0.94342473118279568</v>
      </c>
      <c r="L68" s="19"/>
      <c r="M68" s="24"/>
      <c r="P68" s="25"/>
    </row>
    <row r="69" spans="3:16" s="17" customFormat="1" ht="15" customHeight="1">
      <c r="C69" s="18"/>
      <c r="D69" s="20" t="s">
        <v>133</v>
      </c>
      <c r="E69" s="26" t="s">
        <v>54</v>
      </c>
      <c r="F69" s="22" t="s">
        <v>134</v>
      </c>
      <c r="G69" s="23">
        <f t="shared" si="0"/>
        <v>0</v>
      </c>
      <c r="H69" s="27"/>
      <c r="I69" s="27"/>
      <c r="J69" s="27"/>
      <c r="K69" s="46"/>
      <c r="L69" s="19"/>
      <c r="M69" s="24"/>
      <c r="P69" s="25"/>
    </row>
    <row r="70" spans="3:16" s="17" customFormat="1" ht="15" customHeight="1">
      <c r="C70" s="18"/>
      <c r="D70" s="20" t="s">
        <v>135</v>
      </c>
      <c r="E70" s="47" t="s">
        <v>57</v>
      </c>
      <c r="F70" s="22" t="s">
        <v>136</v>
      </c>
      <c r="G70" s="23">
        <f t="shared" si="0"/>
        <v>0</v>
      </c>
      <c r="H70" s="27"/>
      <c r="I70" s="27"/>
      <c r="J70" s="27"/>
      <c r="K70" s="27"/>
      <c r="L70" s="19"/>
      <c r="M70" s="24"/>
      <c r="P70" s="25"/>
    </row>
    <row r="71" spans="3:16" s="17" customFormat="1" ht="15" customHeight="1">
      <c r="C71" s="18"/>
      <c r="D71" s="20" t="s">
        <v>137</v>
      </c>
      <c r="E71" s="21" t="s">
        <v>60</v>
      </c>
      <c r="F71" s="48" t="s">
        <v>138</v>
      </c>
      <c r="G71" s="23">
        <f t="shared" si="0"/>
        <v>7.5240645161290312</v>
      </c>
      <c r="H71" s="23">
        <f>H72+H74+H77+H81</f>
        <v>0</v>
      </c>
      <c r="I71" s="23">
        <f>I72+I74+I77+I81</f>
        <v>6.3854166666666661</v>
      </c>
      <c r="J71" s="23">
        <f>J72+J74+J77+J81</f>
        <v>0.34912903225806452</v>
      </c>
      <c r="K71" s="23">
        <f>K72+K74+K77+K81</f>
        <v>0.78951881720430117</v>
      </c>
      <c r="L71" s="19"/>
      <c r="M71" s="24"/>
      <c r="P71" s="25"/>
    </row>
    <row r="72" spans="3:16" s="17" customFormat="1" ht="22.5">
      <c r="C72" s="18"/>
      <c r="D72" s="20" t="s">
        <v>139</v>
      </c>
      <c r="E72" s="26" t="s">
        <v>63</v>
      </c>
      <c r="F72" s="22" t="s">
        <v>140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141</v>
      </c>
      <c r="E73" s="49" t="s">
        <v>66</v>
      </c>
      <c r="F73" s="22" t="s">
        <v>142</v>
      </c>
      <c r="G73" s="23">
        <f t="shared" si="0"/>
        <v>0</v>
      </c>
      <c r="H73" s="27"/>
      <c r="I73" s="27"/>
      <c r="J73" s="27"/>
      <c r="K73" s="27"/>
      <c r="L73" s="19"/>
      <c r="M73" s="24"/>
      <c r="P73" s="25"/>
    </row>
    <row r="74" spans="3:16" s="17" customFormat="1" ht="15" customHeight="1">
      <c r="C74" s="18"/>
      <c r="D74" s="20" t="s">
        <v>143</v>
      </c>
      <c r="E74" s="26" t="s">
        <v>69</v>
      </c>
      <c r="F74" s="22" t="s">
        <v>144</v>
      </c>
      <c r="G74" s="23">
        <f t="shared" si="0"/>
        <v>2.1284959677419355</v>
      </c>
      <c r="H74" s="27"/>
      <c r="I74" s="27">
        <f>I36/744</f>
        <v>0.98984811827956987</v>
      </c>
      <c r="J74" s="27">
        <f>J36/744</f>
        <v>0.34912903225806452</v>
      </c>
      <c r="K74" s="27">
        <f>K36/744</f>
        <v>0.78951881720430117</v>
      </c>
      <c r="L74" s="19"/>
      <c r="M74" s="24"/>
      <c r="P74" s="25"/>
    </row>
    <row r="75" spans="3:16" s="17" customFormat="1" ht="15" customHeight="1">
      <c r="C75" s="18"/>
      <c r="D75" s="20" t="s">
        <v>145</v>
      </c>
      <c r="E75" s="49" t="s">
        <v>72</v>
      </c>
      <c r="F75" s="22" t="s">
        <v>146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147</v>
      </c>
      <c r="E76" s="50" t="s">
        <v>66</v>
      </c>
      <c r="F76" s="22" t="s">
        <v>148</v>
      </c>
      <c r="G76" s="23">
        <f t="shared" si="0"/>
        <v>0</v>
      </c>
      <c r="H76" s="27"/>
      <c r="I76" s="27"/>
      <c r="J76" s="27"/>
      <c r="K76" s="27"/>
      <c r="L76" s="19"/>
      <c r="M76" s="24"/>
      <c r="P76" s="25"/>
    </row>
    <row r="77" spans="3:16" s="17" customFormat="1" ht="15" customHeight="1">
      <c r="C77" s="18"/>
      <c r="D77" s="20" t="s">
        <v>149</v>
      </c>
      <c r="E77" s="26" t="s">
        <v>77</v>
      </c>
      <c r="F77" s="22" t="s">
        <v>150</v>
      </c>
      <c r="G77" s="23">
        <f t="shared" si="0"/>
        <v>5.3955685483870965</v>
      </c>
      <c r="H77" s="23">
        <f>SUM(H78:H80)</f>
        <v>0</v>
      </c>
      <c r="I77" s="23">
        <f>SUM(I78:I80)</f>
        <v>5.3955685483870965</v>
      </c>
      <c r="J77" s="23">
        <f>SUM(J78:J80)</f>
        <v>0</v>
      </c>
      <c r="K77" s="23">
        <f>SUM(K78:K80)</f>
        <v>0</v>
      </c>
      <c r="L77" s="19"/>
      <c r="M77" s="24"/>
      <c r="P77" s="25"/>
    </row>
    <row r="78" spans="3:16" s="17" customFormat="1" ht="12.75" hidden="1" customHeight="1">
      <c r="C78" s="18"/>
      <c r="D78" s="28" t="s">
        <v>151</v>
      </c>
      <c r="E78" s="29"/>
      <c r="F78" s="30" t="s">
        <v>150</v>
      </c>
      <c r="G78" s="31"/>
      <c r="H78" s="31"/>
      <c r="I78" s="31"/>
      <c r="J78" s="31"/>
      <c r="K78" s="31"/>
      <c r="L78" s="19"/>
      <c r="M78" s="24"/>
      <c r="P78" s="25"/>
    </row>
    <row r="79" spans="3:16" s="17" customFormat="1" ht="15" customHeight="1">
      <c r="C79" s="32" t="s">
        <v>30</v>
      </c>
      <c r="D79" s="33" t="s">
        <v>152</v>
      </c>
      <c r="E79" s="34" t="s">
        <v>81</v>
      </c>
      <c r="F79" s="35">
        <v>1781</v>
      </c>
      <c r="G79" s="36">
        <f>SUM(H79:K79)</f>
        <v>5.3955685483870965</v>
      </c>
      <c r="H79" s="37"/>
      <c r="I79" s="37">
        <f>I41/744</f>
        <v>5.3955685483870965</v>
      </c>
      <c r="J79" s="37"/>
      <c r="K79" s="38"/>
      <c r="L79" s="19"/>
      <c r="M79" s="39"/>
      <c r="N79" s="40"/>
      <c r="O79" s="40"/>
    </row>
    <row r="80" spans="3:16" s="17" customFormat="1" ht="15" customHeight="1">
      <c r="C80" s="18"/>
      <c r="D80" s="41"/>
      <c r="E80" s="42" t="s">
        <v>33</v>
      </c>
      <c r="F80" s="43"/>
      <c r="G80" s="43"/>
      <c r="H80" s="43"/>
      <c r="I80" s="43"/>
      <c r="J80" s="43"/>
      <c r="K80" s="44"/>
      <c r="L80" s="19"/>
      <c r="M80" s="24"/>
      <c r="P80" s="25"/>
    </row>
    <row r="81" spans="3:16" s="17" customFormat="1" ht="15" customHeight="1">
      <c r="C81" s="18"/>
      <c r="D81" s="20" t="s">
        <v>153</v>
      </c>
      <c r="E81" s="52" t="s">
        <v>83</v>
      </c>
      <c r="F81" s="22" t="s">
        <v>154</v>
      </c>
      <c r="G81" s="23">
        <f t="shared" si="0"/>
        <v>0</v>
      </c>
      <c r="H81" s="27"/>
      <c r="I81" s="27"/>
      <c r="J81" s="27"/>
      <c r="K81" s="27"/>
      <c r="L81" s="19"/>
      <c r="M81" s="24"/>
      <c r="P81" s="25"/>
    </row>
    <row r="82" spans="3:16" s="17" customFormat="1" ht="15" customHeight="1">
      <c r="C82" s="18"/>
      <c r="D82" s="20" t="s">
        <v>155</v>
      </c>
      <c r="E82" s="21" t="s">
        <v>86</v>
      </c>
      <c r="F82" s="22" t="s">
        <v>156</v>
      </c>
      <c r="G82" s="23">
        <f t="shared" si="0"/>
        <v>2.2667715053763442</v>
      </c>
      <c r="H82" s="27"/>
      <c r="I82" s="27">
        <f>I44/744</f>
        <v>1.3233467741935485</v>
      </c>
      <c r="J82" s="27">
        <f>J44/744</f>
        <v>0.94342473118279568</v>
      </c>
      <c r="K82" s="27"/>
      <c r="L82" s="19"/>
      <c r="M82" s="24"/>
      <c r="P82" s="25"/>
    </row>
    <row r="83" spans="3:16" s="17" customFormat="1" ht="15" customHeight="1">
      <c r="C83" s="18"/>
      <c r="D83" s="20" t="s">
        <v>157</v>
      </c>
      <c r="E83" s="21" t="s">
        <v>89</v>
      </c>
      <c r="F83" s="22" t="s">
        <v>158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>
      <c r="C84" s="18"/>
      <c r="D84" s="20" t="s">
        <v>159</v>
      </c>
      <c r="E84" s="21" t="s">
        <v>92</v>
      </c>
      <c r="F84" s="22" t="s">
        <v>160</v>
      </c>
      <c r="G84" s="23">
        <f t="shared" si="0"/>
        <v>0</v>
      </c>
      <c r="H84" s="27"/>
      <c r="I84" s="27"/>
      <c r="J84" s="27"/>
      <c r="K84" s="27"/>
      <c r="L84" s="19"/>
      <c r="M84" s="24"/>
      <c r="P84" s="25"/>
    </row>
    <row r="85" spans="3:16" s="17" customFormat="1" ht="15" customHeight="1">
      <c r="C85" s="18"/>
      <c r="D85" s="20" t="s">
        <v>161</v>
      </c>
      <c r="E85" s="21" t="s">
        <v>95</v>
      </c>
      <c r="F85" s="22" t="s">
        <v>162</v>
      </c>
      <c r="G85" s="23">
        <f t="shared" si="0"/>
        <v>0.21404301075268817</v>
      </c>
      <c r="H85" s="27"/>
      <c r="I85" s="27">
        <f>I47/744</f>
        <v>2.9344086021505376E-2</v>
      </c>
      <c r="J85" s="27">
        <f>J47/744</f>
        <v>3.0793010752688171E-2</v>
      </c>
      <c r="K85" s="27">
        <f>K47/744</f>
        <v>0.15390591397849462</v>
      </c>
      <c r="L85" s="19"/>
      <c r="M85" s="24"/>
      <c r="P85" s="25"/>
    </row>
    <row r="86" spans="3:16" s="17" customFormat="1" ht="15" customHeight="1">
      <c r="C86" s="18"/>
      <c r="D86" s="20" t="s">
        <v>163</v>
      </c>
      <c r="E86" s="26" t="s">
        <v>164</v>
      </c>
      <c r="F86" s="22" t="s">
        <v>165</v>
      </c>
      <c r="G86" s="23">
        <f t="shared" si="0"/>
        <v>0</v>
      </c>
      <c r="H86" s="27"/>
      <c r="I86" s="27"/>
      <c r="J86" s="27"/>
      <c r="K86" s="27"/>
      <c r="L86" s="19"/>
      <c r="M86" s="24"/>
      <c r="P86" s="25"/>
    </row>
    <row r="87" spans="3:16" s="17" customFormat="1" ht="15" customHeight="1">
      <c r="C87" s="18"/>
      <c r="D87" s="20" t="s">
        <v>166</v>
      </c>
      <c r="E87" s="21" t="s">
        <v>101</v>
      </c>
      <c r="F87" s="22" t="s">
        <v>167</v>
      </c>
      <c r="G87" s="23">
        <f t="shared" si="0"/>
        <v>0.40322580645161288</v>
      </c>
      <c r="H87" s="27"/>
      <c r="I87" s="27">
        <f>I49/744</f>
        <v>6.8294575083555298E-2</v>
      </c>
      <c r="J87" s="27">
        <f>J49/744</f>
        <v>0.15784367476670294</v>
      </c>
      <c r="K87" s="27">
        <f>K49/744</f>
        <v>0.17708755660135467</v>
      </c>
      <c r="L87" s="19"/>
      <c r="M87" s="24"/>
      <c r="P87" s="25"/>
    </row>
    <row r="88" spans="3:16" s="17" customFormat="1" ht="33.75">
      <c r="C88" s="18"/>
      <c r="D88" s="20" t="s">
        <v>168</v>
      </c>
      <c r="E88" s="47" t="s">
        <v>104</v>
      </c>
      <c r="F88" s="22" t="s">
        <v>169</v>
      </c>
      <c r="G88" s="23">
        <f t="shared" si="0"/>
        <v>-0.18918279569892474</v>
      </c>
      <c r="H88" s="23">
        <f>H85-H87</f>
        <v>0</v>
      </c>
      <c r="I88" s="23">
        <f>I85-I87</f>
        <v>-3.8950489062049926E-2</v>
      </c>
      <c r="J88" s="23">
        <f>J85-J87</f>
        <v>-0.12705066401401477</v>
      </c>
      <c r="K88" s="23">
        <f>K85-K87</f>
        <v>-2.3181642622860044E-2</v>
      </c>
      <c r="L88" s="19"/>
      <c r="M88" s="24"/>
      <c r="P88" s="25"/>
    </row>
    <row r="89" spans="3:16" s="17" customFormat="1" ht="15" customHeight="1">
      <c r="C89" s="18"/>
      <c r="D89" s="20" t="s">
        <v>170</v>
      </c>
      <c r="E89" s="21" t="s">
        <v>107</v>
      </c>
      <c r="F89" s="22" t="s">
        <v>171</v>
      </c>
      <c r="G89" s="23">
        <f t="shared" si="0"/>
        <v>0</v>
      </c>
      <c r="H89" s="23">
        <f>(H53+H65+H70)-(H71+H82+H83+H84+H85)</f>
        <v>0</v>
      </c>
      <c r="I89" s="23">
        <f>(I53+I65+I70)-(I71+I82+I83+I84+I85)</f>
        <v>0</v>
      </c>
      <c r="J89" s="23">
        <f>(J53+J65+J70)-(J71+J82+J83+J84+J85)</f>
        <v>0</v>
      </c>
      <c r="K89" s="23">
        <f>(K53+K65+K70)-(K71+K82+K83+K84+K85)</f>
        <v>0</v>
      </c>
      <c r="L89" s="19"/>
      <c r="M89" s="24"/>
      <c r="P89" s="25"/>
    </row>
    <row r="90" spans="3:16" s="17" customFormat="1" ht="15" customHeight="1">
      <c r="C90" s="18"/>
      <c r="D90" s="83" t="s">
        <v>172</v>
      </c>
      <c r="E90" s="84"/>
      <c r="F90" s="84"/>
      <c r="G90" s="84"/>
      <c r="H90" s="84"/>
      <c r="I90" s="84"/>
      <c r="J90" s="84"/>
      <c r="K90" s="85"/>
      <c r="L90" s="19"/>
      <c r="M90" s="24"/>
      <c r="P90" s="45"/>
    </row>
    <row r="91" spans="3:16" s="17" customFormat="1" ht="15" customHeight="1">
      <c r="C91" s="18"/>
      <c r="D91" s="20" t="s">
        <v>173</v>
      </c>
      <c r="E91" s="21" t="s">
        <v>174</v>
      </c>
      <c r="F91" s="22" t="s">
        <v>175</v>
      </c>
      <c r="G91" s="23">
        <f t="shared" si="0"/>
        <v>0</v>
      </c>
      <c r="H91" s="27"/>
      <c r="I91" s="27"/>
      <c r="J91" s="27"/>
      <c r="K91" s="27"/>
      <c r="L91" s="19"/>
      <c r="M91" s="24"/>
      <c r="P91" s="25"/>
    </row>
    <row r="92" spans="3:16" s="17" customFormat="1" ht="15" customHeight="1">
      <c r="C92" s="18"/>
      <c r="D92" s="20" t="s">
        <v>176</v>
      </c>
      <c r="E92" s="21" t="s">
        <v>177</v>
      </c>
      <c r="F92" s="22" t="s">
        <v>178</v>
      </c>
      <c r="G92" s="23">
        <f t="shared" si="0"/>
        <v>10.55</v>
      </c>
      <c r="H92" s="27"/>
      <c r="I92" s="27">
        <v>10.55</v>
      </c>
      <c r="J92" s="27"/>
      <c r="K92" s="27"/>
      <c r="L92" s="19"/>
      <c r="M92" s="24"/>
      <c r="P92" s="25"/>
    </row>
    <row r="93" spans="3:16" s="17" customFormat="1" ht="15" customHeight="1">
      <c r="C93" s="18"/>
      <c r="D93" s="20" t="s">
        <v>179</v>
      </c>
      <c r="E93" s="21" t="s">
        <v>180</v>
      </c>
      <c r="F93" s="22" t="s">
        <v>181</v>
      </c>
      <c r="G93" s="23">
        <f t="shared" si="0"/>
        <v>0</v>
      </c>
      <c r="H93" s="27"/>
      <c r="I93" s="27"/>
      <c r="J93" s="27"/>
      <c r="K93" s="27"/>
      <c r="L93" s="19"/>
      <c r="M93" s="24"/>
      <c r="P93" s="25"/>
    </row>
    <row r="94" spans="3:16" s="17" customFormat="1" ht="15" customHeight="1">
      <c r="C94" s="18"/>
      <c r="D94" s="83" t="s">
        <v>182</v>
      </c>
      <c r="E94" s="84"/>
      <c r="F94" s="84"/>
      <c r="G94" s="84"/>
      <c r="H94" s="84"/>
      <c r="I94" s="84"/>
      <c r="J94" s="84"/>
      <c r="K94" s="85"/>
      <c r="L94" s="19"/>
      <c r="M94" s="24"/>
      <c r="P94" s="45"/>
    </row>
    <row r="95" spans="3:16" s="17" customFormat="1" ht="15" customHeight="1">
      <c r="C95" s="18"/>
      <c r="D95" s="20" t="s">
        <v>183</v>
      </c>
      <c r="E95" s="21" t="s">
        <v>184</v>
      </c>
      <c r="F95" s="22" t="s">
        <v>185</v>
      </c>
      <c r="G95" s="23">
        <f t="shared" si="0"/>
        <v>0</v>
      </c>
      <c r="H95" s="23">
        <f>SUM(H96:H97)</f>
        <v>0</v>
      </c>
      <c r="I95" s="23">
        <f>SUM(I96:I97)</f>
        <v>0</v>
      </c>
      <c r="J95" s="23">
        <f>SUM(J96:J97)</f>
        <v>0</v>
      </c>
      <c r="K95" s="23">
        <f>SUM(K96:K97)</f>
        <v>0</v>
      </c>
      <c r="L95" s="19"/>
      <c r="M95" s="24"/>
      <c r="P95" s="25"/>
    </row>
    <row r="96" spans="3:16" ht="15" customHeight="1">
      <c r="C96" s="6"/>
      <c r="D96" s="54" t="s">
        <v>186</v>
      </c>
      <c r="E96" s="26" t="s">
        <v>187</v>
      </c>
      <c r="F96" s="22" t="s">
        <v>188</v>
      </c>
      <c r="G96" s="23">
        <f t="shared" si="0"/>
        <v>0</v>
      </c>
      <c r="H96" s="55"/>
      <c r="I96" s="55"/>
      <c r="J96" s="55"/>
      <c r="K96" s="55"/>
      <c r="L96" s="13"/>
      <c r="M96" s="24"/>
      <c r="P96" s="25"/>
    </row>
    <row r="97" spans="3:16" ht="15" customHeight="1">
      <c r="C97" s="6"/>
      <c r="D97" s="54" t="s">
        <v>189</v>
      </c>
      <c r="E97" s="26" t="s">
        <v>190</v>
      </c>
      <c r="F97" s="22" t="s">
        <v>191</v>
      </c>
      <c r="G97" s="23">
        <f t="shared" si="0"/>
        <v>0</v>
      </c>
      <c r="H97" s="56">
        <f>H100</f>
        <v>0</v>
      </c>
      <c r="I97" s="56">
        <f>I100</f>
        <v>0</v>
      </c>
      <c r="J97" s="56">
        <f>J100</f>
        <v>0</v>
      </c>
      <c r="K97" s="56">
        <f>K100</f>
        <v>0</v>
      </c>
      <c r="L97" s="13"/>
      <c r="M97" s="24"/>
      <c r="P97" s="25"/>
    </row>
    <row r="98" spans="3:16" ht="15" customHeight="1">
      <c r="C98" s="6"/>
      <c r="D98" s="54" t="s">
        <v>192</v>
      </c>
      <c r="E98" s="49" t="s">
        <v>193</v>
      </c>
      <c r="F98" s="22" t="s">
        <v>194</v>
      </c>
      <c r="G98" s="23">
        <f t="shared" si="0"/>
        <v>0</v>
      </c>
      <c r="H98" s="55"/>
      <c r="I98" s="55"/>
      <c r="J98" s="55"/>
      <c r="K98" s="55"/>
      <c r="L98" s="13"/>
      <c r="M98" s="24"/>
      <c r="P98" s="25"/>
    </row>
    <row r="99" spans="3:16" ht="15" customHeight="1">
      <c r="C99" s="6"/>
      <c r="D99" s="54" t="s">
        <v>195</v>
      </c>
      <c r="E99" s="50" t="s">
        <v>196</v>
      </c>
      <c r="F99" s="22" t="s">
        <v>197</v>
      </c>
      <c r="G99" s="23">
        <f t="shared" si="0"/>
        <v>0</v>
      </c>
      <c r="H99" s="55"/>
      <c r="I99" s="55"/>
      <c r="J99" s="55"/>
      <c r="K99" s="55"/>
      <c r="L99" s="13"/>
      <c r="M99" s="24"/>
      <c r="P99" s="25"/>
    </row>
    <row r="100" spans="3:16" ht="15" customHeight="1">
      <c r="C100" s="6"/>
      <c r="D100" s="54" t="s">
        <v>198</v>
      </c>
      <c r="E100" s="49" t="s">
        <v>199</v>
      </c>
      <c r="F100" s="22" t="s">
        <v>200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/>
    </row>
    <row r="101" spans="3:16" ht="15" customHeight="1">
      <c r="C101" s="6"/>
      <c r="D101" s="54" t="s">
        <v>201</v>
      </c>
      <c r="E101" s="21" t="s">
        <v>202</v>
      </c>
      <c r="F101" s="22" t="s">
        <v>203</v>
      </c>
      <c r="G101" s="23">
        <f t="shared" si="0"/>
        <v>0</v>
      </c>
      <c r="H101" s="56">
        <f>H102+H118</f>
        <v>0</v>
      </c>
      <c r="I101" s="56">
        <f>I102+I118</f>
        <v>0</v>
      </c>
      <c r="J101" s="56">
        <f>J102+J118</f>
        <v>0</v>
      </c>
      <c r="K101" s="56">
        <f>K102+K118</f>
        <v>0</v>
      </c>
      <c r="L101" s="13"/>
      <c r="M101" s="24"/>
      <c r="P101" s="25"/>
    </row>
    <row r="102" spans="3:16" ht="15" customHeight="1">
      <c r="C102" s="6"/>
      <c r="D102" s="54" t="s">
        <v>204</v>
      </c>
      <c r="E102" s="26" t="s">
        <v>205</v>
      </c>
      <c r="F102" s="22" t="s">
        <v>206</v>
      </c>
      <c r="G102" s="23">
        <f t="shared" si="0"/>
        <v>0</v>
      </c>
      <c r="H102" s="56">
        <f>H103+H104</f>
        <v>0</v>
      </c>
      <c r="I102" s="56">
        <f>I103+I104</f>
        <v>0</v>
      </c>
      <c r="J102" s="56">
        <f>J103+J104</f>
        <v>0</v>
      </c>
      <c r="K102" s="56">
        <f>K103+K104</f>
        <v>0</v>
      </c>
      <c r="L102" s="13"/>
      <c r="M102" s="24"/>
      <c r="P102" s="25"/>
    </row>
    <row r="103" spans="3:16" ht="15" customHeight="1">
      <c r="C103" s="6"/>
      <c r="D103" s="54" t="s">
        <v>207</v>
      </c>
      <c r="E103" s="49" t="s">
        <v>208</v>
      </c>
      <c r="F103" s="22" t="s">
        <v>209</v>
      </c>
      <c r="G103" s="23">
        <f t="shared" si="0"/>
        <v>0</v>
      </c>
      <c r="H103" s="55"/>
      <c r="I103" s="55"/>
      <c r="J103" s="55"/>
      <c r="K103" s="55"/>
      <c r="L103" s="13"/>
      <c r="M103" s="24"/>
      <c r="P103" s="25"/>
    </row>
    <row r="104" spans="3:16" ht="15" customHeight="1">
      <c r="C104" s="6"/>
      <c r="D104" s="54" t="s">
        <v>210</v>
      </c>
      <c r="E104" s="49" t="s">
        <v>211</v>
      </c>
      <c r="F104" s="22" t="s">
        <v>212</v>
      </c>
      <c r="G104" s="23">
        <f t="shared" si="0"/>
        <v>0</v>
      </c>
      <c r="H104" s="56">
        <f>H105+H108+H111+H114+H115+H116+H117</f>
        <v>0</v>
      </c>
      <c r="I104" s="56">
        <f>I105+I108+I111+I114+I115+I116+I117</f>
        <v>0</v>
      </c>
      <c r="J104" s="56">
        <f>J105+J108+J111+J114+J115+J116+J117</f>
        <v>0</v>
      </c>
      <c r="K104" s="56">
        <f>K105+K108+K111+K114+K115+K116+K117</f>
        <v>0</v>
      </c>
      <c r="L104" s="13"/>
      <c r="M104" s="24"/>
      <c r="P104" s="25"/>
    </row>
    <row r="105" spans="3:16" ht="45">
      <c r="C105" s="6"/>
      <c r="D105" s="54" t="s">
        <v>213</v>
      </c>
      <c r="E105" s="50" t="s">
        <v>214</v>
      </c>
      <c r="F105" s="22" t="s">
        <v>215</v>
      </c>
      <c r="G105" s="23">
        <f t="shared" si="0"/>
        <v>0</v>
      </c>
      <c r="H105" s="57">
        <f>H106+H107</f>
        <v>0</v>
      </c>
      <c r="I105" s="57">
        <f>I106+I107</f>
        <v>0</v>
      </c>
      <c r="J105" s="57">
        <f>J106+J107</f>
        <v>0</v>
      </c>
      <c r="K105" s="57">
        <f>K106+K107</f>
        <v>0</v>
      </c>
      <c r="L105" s="13"/>
      <c r="M105" s="24"/>
      <c r="P105" s="25"/>
    </row>
    <row r="106" spans="3:16" ht="15" customHeight="1">
      <c r="C106" s="6"/>
      <c r="D106" s="54" t="s">
        <v>216</v>
      </c>
      <c r="E106" s="58" t="s">
        <v>217</v>
      </c>
      <c r="F106" s="22" t="s">
        <v>218</v>
      </c>
      <c r="G106" s="23">
        <f t="shared" si="0"/>
        <v>0</v>
      </c>
      <c r="H106" s="55"/>
      <c r="I106" s="55"/>
      <c r="J106" s="55"/>
      <c r="K106" s="55"/>
      <c r="L106" s="13"/>
      <c r="M106" s="24"/>
      <c r="P106" s="25"/>
    </row>
    <row r="107" spans="3:16" ht="15" customHeight="1">
      <c r="C107" s="6"/>
      <c r="D107" s="54" t="s">
        <v>219</v>
      </c>
      <c r="E107" s="58" t="s">
        <v>220</v>
      </c>
      <c r="F107" s="22" t="s">
        <v>221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45">
      <c r="C108" s="6"/>
      <c r="D108" s="54" t="s">
        <v>222</v>
      </c>
      <c r="E108" s="50" t="s">
        <v>223</v>
      </c>
      <c r="F108" s="22" t="s">
        <v>224</v>
      </c>
      <c r="G108" s="23">
        <f t="shared" si="0"/>
        <v>0</v>
      </c>
      <c r="H108" s="57">
        <f>H109+H110</f>
        <v>0</v>
      </c>
      <c r="I108" s="57">
        <f>I109+I110</f>
        <v>0</v>
      </c>
      <c r="J108" s="57">
        <f>J109+J110</f>
        <v>0</v>
      </c>
      <c r="K108" s="57">
        <f>K109+K110</f>
        <v>0</v>
      </c>
      <c r="L108" s="13"/>
      <c r="M108" s="24"/>
      <c r="P108" s="25"/>
    </row>
    <row r="109" spans="3:16" ht="15" customHeight="1">
      <c r="C109" s="6"/>
      <c r="D109" s="54" t="s">
        <v>225</v>
      </c>
      <c r="E109" s="58" t="s">
        <v>217</v>
      </c>
      <c r="F109" s="22" t="s">
        <v>226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15" customHeight="1">
      <c r="C110" s="6"/>
      <c r="D110" s="54" t="s">
        <v>227</v>
      </c>
      <c r="E110" s="58" t="s">
        <v>220</v>
      </c>
      <c r="F110" s="22" t="s">
        <v>228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5" customHeight="1">
      <c r="C111" s="6"/>
      <c r="D111" s="54" t="s">
        <v>229</v>
      </c>
      <c r="E111" s="50" t="s">
        <v>230</v>
      </c>
      <c r="F111" s="22" t="s">
        <v>231</v>
      </c>
      <c r="G111" s="23">
        <f t="shared" si="0"/>
        <v>0</v>
      </c>
      <c r="H111" s="57">
        <f>H112+H113</f>
        <v>0</v>
      </c>
      <c r="I111" s="57">
        <f>I112+I113</f>
        <v>0</v>
      </c>
      <c r="J111" s="57">
        <f>J112+J113</f>
        <v>0</v>
      </c>
      <c r="K111" s="57">
        <f>K112+K113</f>
        <v>0</v>
      </c>
      <c r="L111" s="13"/>
      <c r="M111" s="24"/>
      <c r="P111" s="25"/>
    </row>
    <row r="112" spans="3:16" ht="15" customHeight="1">
      <c r="C112" s="6"/>
      <c r="D112" s="54" t="s">
        <v>232</v>
      </c>
      <c r="E112" s="58" t="s">
        <v>217</v>
      </c>
      <c r="F112" s="22" t="s">
        <v>233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234</v>
      </c>
      <c r="E113" s="58" t="s">
        <v>220</v>
      </c>
      <c r="F113" s="22" t="s">
        <v>235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15" customHeight="1">
      <c r="C114" s="6"/>
      <c r="D114" s="54" t="s">
        <v>236</v>
      </c>
      <c r="E114" s="50" t="s">
        <v>237</v>
      </c>
      <c r="F114" s="22" t="s">
        <v>238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239</v>
      </c>
      <c r="E115" s="50" t="s">
        <v>240</v>
      </c>
      <c r="F115" s="22" t="s">
        <v>241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9.5" customHeight="1">
      <c r="C116" s="6"/>
      <c r="D116" s="54" t="s">
        <v>242</v>
      </c>
      <c r="E116" s="50" t="s">
        <v>243</v>
      </c>
      <c r="F116" s="22" t="s">
        <v>244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3.5" customHeight="1">
      <c r="C117" s="6"/>
      <c r="D117" s="54" t="s">
        <v>245</v>
      </c>
      <c r="E117" s="50" t="s">
        <v>246</v>
      </c>
      <c r="F117" s="22" t="s">
        <v>247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5" customHeight="1">
      <c r="C118" s="6"/>
      <c r="D118" s="54" t="s">
        <v>248</v>
      </c>
      <c r="E118" s="26" t="s">
        <v>249</v>
      </c>
      <c r="F118" s="22" t="s">
        <v>250</v>
      </c>
      <c r="G118" s="23">
        <f t="shared" si="0"/>
        <v>0</v>
      </c>
      <c r="H118" s="56">
        <f>H121</f>
        <v>0</v>
      </c>
      <c r="I118" s="56">
        <f>I121</f>
        <v>0</v>
      </c>
      <c r="J118" s="56">
        <f>J121</f>
        <v>0</v>
      </c>
      <c r="K118" s="56">
        <f>K121</f>
        <v>0</v>
      </c>
      <c r="L118" s="13"/>
      <c r="M118" s="24"/>
      <c r="P118" s="25"/>
    </row>
    <row r="119" spans="3:16" ht="15" customHeight="1">
      <c r="C119" s="6"/>
      <c r="D119" s="54" t="s">
        <v>251</v>
      </c>
      <c r="E119" s="49" t="s">
        <v>193</v>
      </c>
      <c r="F119" s="22" t="s">
        <v>252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253</v>
      </c>
      <c r="E120" s="50" t="s">
        <v>254</v>
      </c>
      <c r="F120" s="22" t="s">
        <v>255</v>
      </c>
      <c r="G120" s="23">
        <f t="shared" si="0"/>
        <v>0</v>
      </c>
      <c r="H120" s="55"/>
      <c r="I120" s="55"/>
      <c r="J120" s="55"/>
      <c r="K120" s="55"/>
      <c r="L120" s="13"/>
      <c r="M120" s="24"/>
      <c r="P120" s="25"/>
    </row>
    <row r="121" spans="3:16" ht="15" customHeight="1">
      <c r="C121" s="6"/>
      <c r="D121" s="54" t="s">
        <v>256</v>
      </c>
      <c r="E121" s="49" t="s">
        <v>199</v>
      </c>
      <c r="F121" s="22" t="s">
        <v>257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27" customHeight="1">
      <c r="C122" s="6"/>
      <c r="D122" s="54" t="s">
        <v>258</v>
      </c>
      <c r="E122" s="47" t="s">
        <v>259</v>
      </c>
      <c r="F122" s="22" t="s">
        <v>260</v>
      </c>
      <c r="G122" s="23">
        <f t="shared" si="0"/>
        <v>5597.9040000000005</v>
      </c>
      <c r="H122" s="56">
        <f>SUM(H123:H124)</f>
        <v>0</v>
      </c>
      <c r="I122" s="56">
        <f>SUM(I123:I124)</f>
        <v>4750.75</v>
      </c>
      <c r="J122" s="56">
        <f>SUM(J123:J124)</f>
        <v>259.75200000000001</v>
      </c>
      <c r="K122" s="56">
        <f>SUM(K123:K124)</f>
        <v>587.40200000000004</v>
      </c>
      <c r="L122" s="13"/>
      <c r="M122" s="24"/>
      <c r="P122" s="25"/>
    </row>
    <row r="123" spans="3:16" ht="15" customHeight="1">
      <c r="C123" s="6"/>
      <c r="D123" s="54" t="s">
        <v>261</v>
      </c>
      <c r="E123" s="26" t="s">
        <v>187</v>
      </c>
      <c r="F123" s="22" t="s">
        <v>262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5" customHeight="1">
      <c r="C124" s="6"/>
      <c r="D124" s="54" t="s">
        <v>263</v>
      </c>
      <c r="E124" s="26" t="s">
        <v>190</v>
      </c>
      <c r="F124" s="22" t="s">
        <v>264</v>
      </c>
      <c r="G124" s="23">
        <f t="shared" si="0"/>
        <v>5597.9040000000005</v>
      </c>
      <c r="H124" s="56">
        <f>H126</f>
        <v>0</v>
      </c>
      <c r="I124" s="56">
        <f>I126</f>
        <v>4750.75</v>
      </c>
      <c r="J124" s="56">
        <f>J126</f>
        <v>259.75200000000001</v>
      </c>
      <c r="K124" s="56">
        <f>K126</f>
        <v>587.40200000000004</v>
      </c>
      <c r="L124" s="13"/>
      <c r="M124" s="24"/>
      <c r="P124" s="25"/>
    </row>
    <row r="125" spans="3:16" ht="15" customHeight="1">
      <c r="C125" s="6"/>
      <c r="D125" s="54" t="s">
        <v>265</v>
      </c>
      <c r="E125" s="49" t="s">
        <v>266</v>
      </c>
      <c r="F125" s="22" t="s">
        <v>267</v>
      </c>
      <c r="G125" s="23">
        <f t="shared" si="0"/>
        <v>10.55</v>
      </c>
      <c r="H125" s="55"/>
      <c r="I125" s="55">
        <v>10.55</v>
      </c>
      <c r="J125" s="55"/>
      <c r="K125" s="55"/>
      <c r="L125" s="13"/>
      <c r="M125" s="24"/>
      <c r="P125" s="25"/>
    </row>
    <row r="126" spans="3:16" ht="15" customHeight="1">
      <c r="C126" s="6"/>
      <c r="D126" s="54" t="s">
        <v>268</v>
      </c>
      <c r="E126" s="49" t="s">
        <v>199</v>
      </c>
      <c r="F126" s="22" t="s">
        <v>269</v>
      </c>
      <c r="G126" s="23">
        <f t="shared" si="0"/>
        <v>5597.9040000000005</v>
      </c>
      <c r="H126" s="55"/>
      <c r="I126" s="55">
        <f>I33</f>
        <v>4750.75</v>
      </c>
      <c r="J126" s="55">
        <f>J33</f>
        <v>259.75200000000001</v>
      </c>
      <c r="K126" s="55">
        <f>K33</f>
        <v>587.40200000000004</v>
      </c>
      <c r="L126" s="13"/>
      <c r="M126" s="24"/>
      <c r="P126" s="25"/>
    </row>
    <row r="127" spans="3:16" ht="15" customHeight="1">
      <c r="C127" s="6"/>
      <c r="D127" s="83" t="s">
        <v>270</v>
      </c>
      <c r="E127" s="84"/>
      <c r="F127" s="84"/>
      <c r="G127" s="84"/>
      <c r="H127" s="84"/>
      <c r="I127" s="84"/>
      <c r="J127" s="84"/>
      <c r="K127" s="85"/>
      <c r="L127" s="13"/>
      <c r="M127" s="24"/>
      <c r="P127" s="59"/>
    </row>
    <row r="128" spans="3:16" ht="22.5">
      <c r="C128" s="6"/>
      <c r="D128" s="54" t="s">
        <v>271</v>
      </c>
      <c r="E128" s="21" t="s">
        <v>272</v>
      </c>
      <c r="F128" s="22" t="s">
        <v>273</v>
      </c>
      <c r="G128" s="23">
        <f t="shared" si="0"/>
        <v>0</v>
      </c>
      <c r="H128" s="56">
        <f>SUM( H129:H130)</f>
        <v>0</v>
      </c>
      <c r="I128" s="56">
        <f>SUM( I129:I130)</f>
        <v>0</v>
      </c>
      <c r="J128" s="56">
        <f>SUM( J129:J130)</f>
        <v>0</v>
      </c>
      <c r="K128" s="56">
        <f>SUM( K129:K130)</f>
        <v>0</v>
      </c>
      <c r="L128" s="13"/>
      <c r="M128" s="24"/>
      <c r="P128" s="25"/>
    </row>
    <row r="129" spans="3:16" ht="15" customHeight="1">
      <c r="C129" s="6"/>
      <c r="D129" s="54" t="s">
        <v>274</v>
      </c>
      <c r="E129" s="26" t="s">
        <v>187</v>
      </c>
      <c r="F129" s="22" t="s">
        <v>275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/>
    </row>
    <row r="130" spans="3:16" ht="15" customHeight="1">
      <c r="C130" s="6"/>
      <c r="D130" s="54" t="s">
        <v>276</v>
      </c>
      <c r="E130" s="26" t="s">
        <v>190</v>
      </c>
      <c r="F130" s="22" t="s">
        <v>277</v>
      </c>
      <c r="G130" s="23">
        <f t="shared" si="0"/>
        <v>0</v>
      </c>
      <c r="H130" s="56">
        <f>H131+H133</f>
        <v>0</v>
      </c>
      <c r="I130" s="56">
        <f>I131+I133</f>
        <v>0</v>
      </c>
      <c r="J130" s="56">
        <f>J131+J133</f>
        <v>0</v>
      </c>
      <c r="K130" s="56">
        <f>K131+K133</f>
        <v>0</v>
      </c>
      <c r="L130" s="13"/>
      <c r="M130" s="24"/>
      <c r="P130" s="25"/>
    </row>
    <row r="131" spans="3:16" ht="15" customHeight="1">
      <c r="C131" s="6"/>
      <c r="D131" s="54" t="s">
        <v>278</v>
      </c>
      <c r="E131" s="49" t="s">
        <v>279</v>
      </c>
      <c r="F131" s="22" t="s">
        <v>280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>
      <c r="C132" s="6"/>
      <c r="D132" s="54" t="s">
        <v>281</v>
      </c>
      <c r="E132" s="50" t="s">
        <v>282</v>
      </c>
      <c r="F132" s="22" t="s">
        <v>283</v>
      </c>
      <c r="G132" s="23">
        <f t="shared" si="0"/>
        <v>0</v>
      </c>
      <c r="H132" s="55"/>
      <c r="I132" s="55"/>
      <c r="J132" s="55"/>
      <c r="K132" s="55"/>
      <c r="L132" s="13"/>
      <c r="M132" s="24"/>
      <c r="P132" s="59"/>
    </row>
    <row r="133" spans="3:16" ht="15" customHeight="1">
      <c r="C133" s="6"/>
      <c r="D133" s="54" t="s">
        <v>284</v>
      </c>
      <c r="E133" s="49" t="s">
        <v>285</v>
      </c>
      <c r="F133" s="22" t="s">
        <v>286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>
      <c r="C134" s="6"/>
      <c r="D134" s="54" t="s">
        <v>29</v>
      </c>
      <c r="E134" s="21" t="s">
        <v>287</v>
      </c>
      <c r="F134" s="22" t="s">
        <v>288</v>
      </c>
      <c r="G134" s="23">
        <f t="shared" si="0"/>
        <v>0</v>
      </c>
      <c r="H134" s="57">
        <f>SUM( H135+H140)</f>
        <v>0</v>
      </c>
      <c r="I134" s="57">
        <f>SUM( I135+I140)</f>
        <v>0</v>
      </c>
      <c r="J134" s="57">
        <f>SUM( J135+J140)</f>
        <v>0</v>
      </c>
      <c r="K134" s="57">
        <f>SUM( K135+K140)</f>
        <v>0</v>
      </c>
      <c r="L134" s="60"/>
      <c r="M134" s="24"/>
      <c r="P134" s="25"/>
    </row>
    <row r="135" spans="3:16" ht="15" customHeight="1">
      <c r="C135" s="6"/>
      <c r="D135" s="54" t="s">
        <v>289</v>
      </c>
      <c r="E135" s="26" t="s">
        <v>187</v>
      </c>
      <c r="F135" s="22" t="s">
        <v>290</v>
      </c>
      <c r="G135" s="23">
        <f t="shared" ref="G135:G148" si="1">SUM(H135:K135)</f>
        <v>0</v>
      </c>
      <c r="H135" s="57">
        <f>SUM( H136:H137)</f>
        <v>0</v>
      </c>
      <c r="I135" s="57">
        <f>SUM( I136:I137)</f>
        <v>0</v>
      </c>
      <c r="J135" s="57">
        <f>SUM( J136:J137)</f>
        <v>0</v>
      </c>
      <c r="K135" s="57">
        <f>SUM( K136:K137)</f>
        <v>0</v>
      </c>
      <c r="L135" s="60"/>
      <c r="M135" s="24"/>
      <c r="P135" s="25"/>
    </row>
    <row r="136" spans="3:16" ht="15" customHeight="1">
      <c r="C136" s="6"/>
      <c r="D136" s="54" t="s">
        <v>291</v>
      </c>
      <c r="E136" s="49" t="s">
        <v>208</v>
      </c>
      <c r="F136" s="22" t="s">
        <v>292</v>
      </c>
      <c r="G136" s="23">
        <f t="shared" si="1"/>
        <v>0</v>
      </c>
      <c r="H136" s="61"/>
      <c r="I136" s="61"/>
      <c r="J136" s="61"/>
      <c r="K136" s="61"/>
      <c r="L136" s="60"/>
      <c r="M136" s="24"/>
      <c r="P136" s="25"/>
    </row>
    <row r="137" spans="3:16" ht="15" customHeight="1">
      <c r="C137" s="6"/>
      <c r="D137" s="54" t="s">
        <v>293</v>
      </c>
      <c r="E137" s="49" t="s">
        <v>211</v>
      </c>
      <c r="F137" s="22" t="s">
        <v>294</v>
      </c>
      <c r="G137" s="23">
        <f t="shared" si="1"/>
        <v>0</v>
      </c>
      <c r="H137" s="57">
        <f>H138+H139</f>
        <v>0</v>
      </c>
      <c r="I137" s="57">
        <f>I138+I139</f>
        <v>0</v>
      </c>
      <c r="J137" s="57">
        <f>J138+J139</f>
        <v>0</v>
      </c>
      <c r="K137" s="57">
        <f>K138+K139</f>
        <v>0</v>
      </c>
      <c r="L137" s="60"/>
      <c r="M137" s="24"/>
      <c r="P137" s="25"/>
    </row>
    <row r="138" spans="3:16" ht="15" customHeight="1">
      <c r="C138" s="6"/>
      <c r="D138" s="54" t="s">
        <v>295</v>
      </c>
      <c r="E138" s="50" t="s">
        <v>217</v>
      </c>
      <c r="F138" s="22" t="s">
        <v>296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297</v>
      </c>
      <c r="E139" s="50" t="s">
        <v>298</v>
      </c>
      <c r="F139" s="22" t="s">
        <v>299</v>
      </c>
      <c r="G139" s="23">
        <f t="shared" si="1"/>
        <v>0</v>
      </c>
      <c r="H139" s="61"/>
      <c r="I139" s="61"/>
      <c r="J139" s="61"/>
      <c r="K139" s="61"/>
      <c r="L139" s="60"/>
      <c r="M139" s="24"/>
      <c r="P139" s="25"/>
    </row>
    <row r="140" spans="3:16" ht="15" customHeight="1">
      <c r="C140" s="6"/>
      <c r="D140" s="54" t="s">
        <v>300</v>
      </c>
      <c r="E140" s="26" t="s">
        <v>249</v>
      </c>
      <c r="F140" s="22" t="s">
        <v>301</v>
      </c>
      <c r="G140" s="23">
        <f t="shared" si="1"/>
        <v>0</v>
      </c>
      <c r="H140" s="57">
        <f>H141+H143</f>
        <v>0</v>
      </c>
      <c r="I140" s="57">
        <f>I141+I143</f>
        <v>0</v>
      </c>
      <c r="J140" s="57">
        <f>J141+J143</f>
        <v>0</v>
      </c>
      <c r="K140" s="57">
        <f>K141+K143</f>
        <v>0</v>
      </c>
      <c r="L140" s="60"/>
      <c r="M140" s="24"/>
      <c r="P140" s="25"/>
    </row>
    <row r="141" spans="3:16" ht="15" customHeight="1">
      <c r="C141" s="6"/>
      <c r="D141" s="54" t="s">
        <v>302</v>
      </c>
      <c r="E141" s="49" t="s">
        <v>279</v>
      </c>
      <c r="F141" s="22" t="s">
        <v>303</v>
      </c>
      <c r="G141" s="23">
        <f t="shared" si="1"/>
        <v>0</v>
      </c>
      <c r="H141" s="55"/>
      <c r="I141" s="55"/>
      <c r="J141" s="55"/>
      <c r="K141" s="55"/>
      <c r="L141" s="60"/>
      <c r="M141" s="24"/>
      <c r="P141" s="25"/>
    </row>
    <row r="142" spans="3:16" ht="15" customHeight="1">
      <c r="C142" s="6"/>
      <c r="D142" s="54" t="s">
        <v>304</v>
      </c>
      <c r="E142" s="50" t="s">
        <v>282</v>
      </c>
      <c r="F142" s="22" t="s">
        <v>305</v>
      </c>
      <c r="G142" s="23">
        <f t="shared" si="1"/>
        <v>0</v>
      </c>
      <c r="H142" s="55"/>
      <c r="I142" s="55"/>
      <c r="J142" s="55"/>
      <c r="K142" s="55"/>
      <c r="L142" s="60"/>
      <c r="M142" s="24"/>
      <c r="P142" s="25"/>
    </row>
    <row r="143" spans="3:16" ht="15" customHeight="1">
      <c r="C143" s="6"/>
      <c r="D143" s="54" t="s">
        <v>306</v>
      </c>
      <c r="E143" s="49" t="s">
        <v>285</v>
      </c>
      <c r="F143" s="22" t="s">
        <v>307</v>
      </c>
      <c r="G143" s="23">
        <f t="shared" si="1"/>
        <v>0</v>
      </c>
      <c r="H143" s="62"/>
      <c r="I143" s="62"/>
      <c r="J143" s="62"/>
      <c r="K143" s="62"/>
      <c r="L143" s="60"/>
      <c r="M143" s="24"/>
      <c r="P143" s="25"/>
    </row>
    <row r="144" spans="3:16" ht="28.5" customHeight="1">
      <c r="C144" s="6"/>
      <c r="D144" s="54" t="s">
        <v>308</v>
      </c>
      <c r="E144" s="21" t="s">
        <v>309</v>
      </c>
      <c r="F144" s="22" t="s">
        <v>310</v>
      </c>
      <c r="G144" s="23">
        <f t="shared" si="1"/>
        <v>2768.7147153800001</v>
      </c>
      <c r="H144" s="63">
        <f>SUM( H145:H146)</f>
        <v>0</v>
      </c>
      <c r="I144" s="63">
        <f>SUM( I145:I146)</f>
        <v>2628.9851346200003</v>
      </c>
      <c r="J144" s="63">
        <f>SUM( J145:J146)</f>
        <v>42.843494880000002</v>
      </c>
      <c r="K144" s="63">
        <f>SUM( K145:K146)</f>
        <v>96.886085879999996</v>
      </c>
      <c r="L144" s="60"/>
      <c r="M144" s="24"/>
      <c r="P144" s="25"/>
    </row>
    <row r="145" spans="3:19" ht="15" customHeight="1">
      <c r="C145" s="6"/>
      <c r="D145" s="54" t="s">
        <v>311</v>
      </c>
      <c r="E145" s="26" t="s">
        <v>187</v>
      </c>
      <c r="F145" s="22" t="s">
        <v>312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/>
    </row>
    <row r="146" spans="3:19" ht="15" customHeight="1">
      <c r="C146" s="6"/>
      <c r="D146" s="54" t="s">
        <v>313</v>
      </c>
      <c r="E146" s="26" t="s">
        <v>190</v>
      </c>
      <c r="F146" s="22" t="s">
        <v>314</v>
      </c>
      <c r="G146" s="23">
        <f t="shared" si="1"/>
        <v>2768.7147153800001</v>
      </c>
      <c r="H146" s="63">
        <f>H147+H148</f>
        <v>0</v>
      </c>
      <c r="I146" s="63">
        <f>I147+I148</f>
        <v>2628.9851346200003</v>
      </c>
      <c r="J146" s="63">
        <f>J147+J148</f>
        <v>42.843494880000002</v>
      </c>
      <c r="K146" s="63">
        <f>K147+K148</f>
        <v>96.886085879999996</v>
      </c>
      <c r="L146" s="60"/>
      <c r="M146" s="24"/>
      <c r="P146" s="25"/>
    </row>
    <row r="147" spans="3:19" ht="15" customHeight="1">
      <c r="C147" s="6"/>
      <c r="D147" s="54" t="s">
        <v>315</v>
      </c>
      <c r="E147" s="49" t="s">
        <v>316</v>
      </c>
      <c r="F147" s="22" t="s">
        <v>317</v>
      </c>
      <c r="G147" s="23">
        <f t="shared" si="1"/>
        <v>1819.1300645000003</v>
      </c>
      <c r="H147" s="62"/>
      <c r="I147" s="62">
        <f>I125*172429.39/1000</f>
        <v>1819.1300645000003</v>
      </c>
      <c r="J147" s="62"/>
      <c r="K147" s="62"/>
      <c r="L147" s="60"/>
      <c r="M147" s="24"/>
      <c r="P147" s="25"/>
    </row>
    <row r="148" spans="3:19" ht="15" customHeight="1">
      <c r="C148" s="6"/>
      <c r="D148" s="54" t="s">
        <v>319</v>
      </c>
      <c r="E148" s="49" t="s">
        <v>285</v>
      </c>
      <c r="F148" s="22" t="s">
        <v>320</v>
      </c>
      <c r="G148" s="23">
        <f t="shared" si="1"/>
        <v>949.58465087999991</v>
      </c>
      <c r="H148" s="62"/>
      <c r="I148" s="62">
        <f>(I33+G47)*164.94/1000</f>
        <v>809.85507011999994</v>
      </c>
      <c r="J148" s="62">
        <f>J33*164.94/1000</f>
        <v>42.843494880000002</v>
      </c>
      <c r="K148" s="62">
        <f>K33*164.94/1000</f>
        <v>96.886085879999996</v>
      </c>
      <c r="L148" s="60"/>
      <c r="M148" s="24"/>
      <c r="P148" s="25"/>
    </row>
    <row r="149" spans="3:19">
      <c r="D149" s="11"/>
      <c r="E149" s="64"/>
      <c r="F149" s="64"/>
      <c r="G149" s="64"/>
      <c r="H149" s="64"/>
      <c r="I149" s="64"/>
      <c r="J149" s="64"/>
      <c r="K149" s="65"/>
      <c r="L149" s="65"/>
      <c r="M149" s="65"/>
      <c r="N149" s="65"/>
      <c r="O149" s="65"/>
      <c r="P149" s="65"/>
      <c r="Q149" s="65"/>
      <c r="R149" s="66"/>
      <c r="S149" s="66"/>
    </row>
    <row r="150" spans="3:19" ht="12.75">
      <c r="E150" s="24" t="s">
        <v>322</v>
      </c>
      <c r="F150" s="76" t="str">
        <f>IF([13]Титульный!G45="","",[13]Титульный!G45)</f>
        <v>экономист</v>
      </c>
      <c r="G150" s="76"/>
      <c r="H150" s="67"/>
      <c r="I150" s="76" t="str">
        <f>IF([13]Титульный!G44="","",[13]Титульный!G44)</f>
        <v>Гизикова А.Н.</v>
      </c>
      <c r="J150" s="76"/>
      <c r="K150" s="76"/>
      <c r="L150" s="67"/>
      <c r="M150" s="68"/>
      <c r="N150" s="68"/>
      <c r="O150" s="69"/>
      <c r="P150" s="65"/>
      <c r="Q150" s="65"/>
      <c r="R150" s="66"/>
      <c r="S150" s="66"/>
    </row>
    <row r="151" spans="3:19" ht="12.75">
      <c r="E151" s="70" t="s">
        <v>323</v>
      </c>
      <c r="F151" s="86" t="s">
        <v>324</v>
      </c>
      <c r="G151" s="86"/>
      <c r="H151" s="69"/>
      <c r="I151" s="86" t="s">
        <v>325</v>
      </c>
      <c r="J151" s="86"/>
      <c r="K151" s="86"/>
      <c r="L151" s="69"/>
      <c r="M151" s="86" t="s">
        <v>326</v>
      </c>
      <c r="N151" s="86"/>
      <c r="O151" s="24"/>
      <c r="P151" s="65"/>
      <c r="Q151" s="65"/>
      <c r="R151" s="66"/>
      <c r="S151" s="66"/>
    </row>
    <row r="152" spans="3:19" ht="12.75">
      <c r="E152" s="70" t="s">
        <v>327</v>
      </c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65"/>
      <c r="Q152" s="65"/>
      <c r="R152" s="66"/>
      <c r="S152" s="66"/>
    </row>
    <row r="153" spans="3:19" ht="12.75">
      <c r="E153" s="70" t="s">
        <v>328</v>
      </c>
      <c r="F153" s="76" t="str">
        <f>IF([13]Титульный!G46="","",[13]Титульный!G46)</f>
        <v>(861) 258-50-71</v>
      </c>
      <c r="G153" s="76"/>
      <c r="H153" s="76"/>
      <c r="I153" s="24"/>
      <c r="J153" s="70" t="s">
        <v>329</v>
      </c>
      <c r="K153" s="71"/>
      <c r="L153" s="24"/>
      <c r="M153" s="24"/>
      <c r="N153" s="24"/>
      <c r="O153" s="24"/>
      <c r="P153" s="65"/>
      <c r="Q153" s="65"/>
      <c r="R153" s="66"/>
      <c r="S153" s="66"/>
    </row>
    <row r="154" spans="3:19" ht="12.75">
      <c r="E154" s="24" t="s">
        <v>330</v>
      </c>
      <c r="F154" s="87" t="s">
        <v>331</v>
      </c>
      <c r="G154" s="87"/>
      <c r="H154" s="87"/>
      <c r="I154" s="24"/>
      <c r="J154" s="72" t="s">
        <v>332</v>
      </c>
      <c r="K154" s="72"/>
      <c r="L154" s="24"/>
      <c r="M154" s="24"/>
      <c r="N154" s="24"/>
      <c r="O154" s="24"/>
      <c r="P154" s="65"/>
      <c r="Q154" s="65"/>
      <c r="R154" s="66"/>
      <c r="S154" s="66"/>
    </row>
    <row r="155" spans="3:19"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6"/>
      <c r="S155" s="66"/>
    </row>
    <row r="156" spans="3:19"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</row>
    <row r="181" spans="5:19"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</sheetData>
  <mergeCells count="18">
    <mergeCell ref="F151:G151"/>
    <mergeCell ref="I151:K151"/>
    <mergeCell ref="M151:N151"/>
    <mergeCell ref="F153:H153"/>
    <mergeCell ref="F154:H154"/>
    <mergeCell ref="F150:G150"/>
    <mergeCell ref="I150:K150"/>
    <mergeCell ref="D8:E8"/>
    <mergeCell ref="D11:D12"/>
    <mergeCell ref="E11:E12"/>
    <mergeCell ref="F11:F12"/>
    <mergeCell ref="G11:G12"/>
    <mergeCell ref="H11:K11"/>
    <mergeCell ref="D14:K14"/>
    <mergeCell ref="D52:K52"/>
    <mergeCell ref="D90:K90"/>
    <mergeCell ref="D94:K94"/>
    <mergeCell ref="D127:K127"/>
  </mergeCells>
  <dataValidations count="2">
    <dataValidation allowBlank="1" showInputMessage="1" promptTitle="Ввод" prompt="Для выбора организации необходимо два раза нажать левую клавишу мыши!" sqref="E25 E41 E63 E79"/>
    <dataValidation type="decimal" allowBlank="1" showErrorMessage="1" errorTitle="Ошибка" error="Допускается ввод только действительных чисел!" sqref="G23:K25 G91:K93 G15:K18 G53:K56 G81:K89 G95:K126 G61:K63 G43:K51 G27:K41 G128:K148 G58:K59 G20:K21 G65:K79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ws_11">
    <tabColor indexed="31"/>
    <pageSetUpPr fitToPage="1"/>
  </sheetPr>
  <dimension ref="A1:CC185"/>
  <sheetViews>
    <sheetView showGridLines="0" tabSelected="1" topLeftCell="C7" zoomScaleNormal="100" workbookViewId="0">
      <pane xSplit="4" ySplit="6" topLeftCell="G13" activePane="bottomRight" state="frozen"/>
      <selection activeCell="C7" sqref="C7"/>
      <selection pane="topRight" activeCell="G7" sqref="G7"/>
      <selection pane="bottomLeft" activeCell="C13" sqref="C13"/>
      <selection pane="bottomRight" activeCell="I44" sqref="I44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345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75" t="s">
        <v>17</v>
      </c>
      <c r="I12" s="75" t="s">
        <v>18</v>
      </c>
      <c r="J12" s="75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57461.650999999998</v>
      </c>
      <c r="H15" s="23">
        <f>H16+H17+H21+H24</f>
        <v>0</v>
      </c>
      <c r="I15" s="23">
        <f>I16+I17+I21+I24</f>
        <v>57405.790999999997</v>
      </c>
      <c r="J15" s="23">
        <f>J16+J17+J21+J24</f>
        <v>55.86</v>
      </c>
      <c r="K15" s="23">
        <f>K16+K17+K21+K24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6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55.86</v>
      </c>
      <c r="H17" s="23">
        <f>SUM(H18:H20)</f>
        <v>0</v>
      </c>
      <c r="I17" s="23">
        <f>SUM(I18:I20)</f>
        <v>0</v>
      </c>
      <c r="J17" s="23">
        <f>SUM(J18:J20)</f>
        <v>55.86</v>
      </c>
      <c r="K17" s="23">
        <f>SUM(K18:K20)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32" t="s">
        <v>30</v>
      </c>
      <c r="D19" s="33" t="s">
        <v>31</v>
      </c>
      <c r="E19" s="34" t="s">
        <v>32</v>
      </c>
      <c r="F19" s="35">
        <v>31</v>
      </c>
      <c r="G19" s="36">
        <f>SUM(H19:K19)</f>
        <v>55.86</v>
      </c>
      <c r="H19" s="37"/>
      <c r="I19" s="37"/>
      <c r="J19" s="37">
        <f>55860/1000</f>
        <v>55.86</v>
      </c>
      <c r="K19" s="38"/>
      <c r="L19" s="19"/>
      <c r="M19" s="39" t="s">
        <v>346</v>
      </c>
      <c r="N19" s="40" t="s">
        <v>347</v>
      </c>
      <c r="O19" s="40" t="s">
        <v>348</v>
      </c>
    </row>
    <row r="20" spans="3:16" s="17" customFormat="1" ht="15" customHeight="1">
      <c r="C20" s="18"/>
      <c r="D20" s="41"/>
      <c r="E20" s="42" t="s">
        <v>33</v>
      </c>
      <c r="F20" s="43"/>
      <c r="G20" s="43"/>
      <c r="H20" s="43"/>
      <c r="I20" s="43"/>
      <c r="J20" s="43"/>
      <c r="K20" s="44"/>
      <c r="L20" s="19"/>
      <c r="M20" s="24"/>
      <c r="P20" s="45"/>
    </row>
    <row r="21" spans="3:16" s="17" customFormat="1" ht="15" customHeight="1">
      <c r="C21" s="18"/>
      <c r="D21" s="20" t="s">
        <v>34</v>
      </c>
      <c r="E21" s="26" t="s">
        <v>35</v>
      </c>
      <c r="F21" s="22" t="s">
        <v>36</v>
      </c>
      <c r="G21" s="23">
        <f t="shared" si="0"/>
        <v>0</v>
      </c>
      <c r="H21" s="23">
        <f>SUM(H22:H23)</f>
        <v>0</v>
      </c>
      <c r="I21" s="23">
        <f>SUM(I22:I23)</f>
        <v>0</v>
      </c>
      <c r="J21" s="23">
        <f>SUM(J22:J23)</f>
        <v>0</v>
      </c>
      <c r="K21" s="23">
        <f>SUM(K22:K23)</f>
        <v>0</v>
      </c>
      <c r="L21" s="19"/>
      <c r="M21" s="24"/>
      <c r="P21" s="45"/>
    </row>
    <row r="22" spans="3:16" s="17" customFormat="1" ht="12.75" hidden="1">
      <c r="C22" s="18"/>
      <c r="D22" s="28" t="s">
        <v>37</v>
      </c>
      <c r="E22" s="29"/>
      <c r="F22" s="30" t="s">
        <v>36</v>
      </c>
      <c r="G22" s="31"/>
      <c r="H22" s="31"/>
      <c r="I22" s="31"/>
      <c r="J22" s="31"/>
      <c r="K22" s="31"/>
      <c r="L22" s="19"/>
      <c r="M22" s="24"/>
      <c r="P22" s="25"/>
    </row>
    <row r="23" spans="3:16" s="17" customFormat="1" ht="15" customHeight="1">
      <c r="C23" s="18"/>
      <c r="D23" s="41"/>
      <c r="E23" s="42" t="s">
        <v>33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>
      <c r="C24" s="18"/>
      <c r="D24" s="20" t="s">
        <v>38</v>
      </c>
      <c r="E24" s="26" t="s">
        <v>39</v>
      </c>
      <c r="F24" s="22" t="s">
        <v>40</v>
      </c>
      <c r="G24" s="23">
        <f t="shared" si="0"/>
        <v>57405.790999999997</v>
      </c>
      <c r="H24" s="23">
        <f>SUM(H25:H27)</f>
        <v>0</v>
      </c>
      <c r="I24" s="23">
        <f>SUM(I25:I27)</f>
        <v>57405.790999999997</v>
      </c>
      <c r="J24" s="23">
        <f>SUM(J25:J27)</f>
        <v>0</v>
      </c>
      <c r="K24" s="23">
        <f>SUM(K25:K27)</f>
        <v>0</v>
      </c>
      <c r="L24" s="19"/>
      <c r="M24" s="24"/>
      <c r="P24" s="25">
        <v>40</v>
      </c>
    </row>
    <row r="25" spans="3:16" s="17" customFormat="1" ht="12.75" hidden="1">
      <c r="C25" s="18"/>
      <c r="D25" s="28" t="s">
        <v>41</v>
      </c>
      <c r="E25" s="29"/>
      <c r="F25" s="30" t="s">
        <v>40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>
      <c r="C26" s="32" t="s">
        <v>30</v>
      </c>
      <c r="D26" s="33" t="s">
        <v>42</v>
      </c>
      <c r="E26" s="34" t="s">
        <v>43</v>
      </c>
      <c r="F26" s="35">
        <v>431</v>
      </c>
      <c r="G26" s="36">
        <f>SUM(H26:K26)</f>
        <v>57405.790999999997</v>
      </c>
      <c r="H26" s="37"/>
      <c r="I26" s="37">
        <f>57405791/1000</f>
        <v>57405.790999999997</v>
      </c>
      <c r="J26" s="37"/>
      <c r="K26" s="38"/>
      <c r="L26" s="19"/>
      <c r="M26" s="39" t="s">
        <v>349</v>
      </c>
      <c r="N26" s="40" t="s">
        <v>350</v>
      </c>
      <c r="O26" s="40" t="s">
        <v>351</v>
      </c>
    </row>
    <row r="27" spans="3:16" s="17" customFormat="1" ht="15" customHeight="1">
      <c r="C27" s="18"/>
      <c r="D27" s="41"/>
      <c r="E27" s="42" t="s">
        <v>33</v>
      </c>
      <c r="F27" s="43"/>
      <c r="G27" s="43"/>
      <c r="H27" s="43"/>
      <c r="I27" s="43"/>
      <c r="J27" s="43"/>
      <c r="K27" s="44"/>
      <c r="L27" s="19"/>
      <c r="M27" s="24"/>
      <c r="P27" s="25"/>
    </row>
    <row r="28" spans="3:16" s="17" customFormat="1" ht="15" customHeight="1">
      <c r="C28" s="18"/>
      <c r="D28" s="20" t="s">
        <v>44</v>
      </c>
      <c r="E28" s="21" t="s">
        <v>45</v>
      </c>
      <c r="F28" s="22" t="s">
        <v>46</v>
      </c>
      <c r="G28" s="23">
        <f t="shared" si="0"/>
        <v>19810.124999999985</v>
      </c>
      <c r="H28" s="23">
        <f>H30+H31+H32</f>
        <v>0</v>
      </c>
      <c r="I28" s="23">
        <f>I29+I31+I32</f>
        <v>0</v>
      </c>
      <c r="J28" s="23">
        <f>J29+J30+J32</f>
        <v>11669.380999999992</v>
      </c>
      <c r="K28" s="23">
        <f>K29+K30+K31</f>
        <v>8140.7439999999924</v>
      </c>
      <c r="L28" s="19"/>
      <c r="M28" s="24"/>
      <c r="P28" s="25">
        <v>50</v>
      </c>
    </row>
    <row r="29" spans="3:16" s="17" customFormat="1" ht="15" customHeight="1">
      <c r="C29" s="18"/>
      <c r="D29" s="20" t="s">
        <v>47</v>
      </c>
      <c r="E29" s="26" t="s">
        <v>17</v>
      </c>
      <c r="F29" s="22" t="s">
        <v>48</v>
      </c>
      <c r="G29" s="23">
        <f t="shared" si="0"/>
        <v>0</v>
      </c>
      <c r="H29" s="46"/>
      <c r="I29" s="27"/>
      <c r="J29" s="27"/>
      <c r="K29" s="27"/>
      <c r="L29" s="19"/>
      <c r="M29" s="24"/>
      <c r="P29" s="25">
        <v>60</v>
      </c>
    </row>
    <row r="30" spans="3:16" s="17" customFormat="1" ht="15" customHeight="1">
      <c r="C30" s="18"/>
      <c r="D30" s="20" t="s">
        <v>49</v>
      </c>
      <c r="E30" s="26" t="s">
        <v>18</v>
      </c>
      <c r="F30" s="22" t="s">
        <v>50</v>
      </c>
      <c r="G30" s="23">
        <f t="shared" si="0"/>
        <v>11669.380999999992</v>
      </c>
      <c r="H30" s="27"/>
      <c r="I30" s="46"/>
      <c r="J30" s="27">
        <f>I15-I34-I48</f>
        <v>11669.380999999992</v>
      </c>
      <c r="K30" s="27"/>
      <c r="L30" s="19"/>
      <c r="M30" s="24"/>
      <c r="P30" s="25">
        <v>70</v>
      </c>
    </row>
    <row r="31" spans="3:16" s="17" customFormat="1" ht="15" customHeight="1">
      <c r="C31" s="18"/>
      <c r="D31" s="20" t="s">
        <v>51</v>
      </c>
      <c r="E31" s="26" t="s">
        <v>19</v>
      </c>
      <c r="F31" s="22" t="s">
        <v>52</v>
      </c>
      <c r="G31" s="23">
        <f t="shared" si="0"/>
        <v>8140.7439999999924</v>
      </c>
      <c r="H31" s="27"/>
      <c r="I31" s="27"/>
      <c r="J31" s="46"/>
      <c r="K31" s="27">
        <f>J15+J28-J34-J48</f>
        <v>8140.7439999999924</v>
      </c>
      <c r="L31" s="19"/>
      <c r="M31" s="24"/>
      <c r="P31" s="25">
        <v>80</v>
      </c>
    </row>
    <row r="32" spans="3:16" s="17" customFormat="1" ht="15" customHeight="1">
      <c r="C32" s="18"/>
      <c r="D32" s="20" t="s">
        <v>53</v>
      </c>
      <c r="E32" s="26" t="s">
        <v>54</v>
      </c>
      <c r="F32" s="22" t="s">
        <v>55</v>
      </c>
      <c r="G32" s="23">
        <f t="shared" si="0"/>
        <v>0</v>
      </c>
      <c r="H32" s="27"/>
      <c r="I32" s="27"/>
      <c r="J32" s="27"/>
      <c r="K32" s="46"/>
      <c r="L32" s="19"/>
      <c r="M32" s="24"/>
      <c r="P32" s="25">
        <v>90</v>
      </c>
    </row>
    <row r="33" spans="3:16" s="17" customFormat="1" ht="15" customHeight="1">
      <c r="C33" s="18"/>
      <c r="D33" s="20" t="s">
        <v>56</v>
      </c>
      <c r="E33" s="47" t="s">
        <v>57</v>
      </c>
      <c r="F33" s="22" t="s">
        <v>58</v>
      </c>
      <c r="G33" s="23">
        <f t="shared" si="0"/>
        <v>0</v>
      </c>
      <c r="H33" s="27"/>
      <c r="I33" s="27"/>
      <c r="J33" s="27"/>
      <c r="K33" s="27"/>
      <c r="L33" s="19"/>
      <c r="M33" s="24"/>
      <c r="P33" s="25"/>
    </row>
    <row r="34" spans="3:16" s="17" customFormat="1" ht="15" customHeight="1">
      <c r="C34" s="18"/>
      <c r="D34" s="20" t="s">
        <v>59</v>
      </c>
      <c r="E34" s="21" t="s">
        <v>60</v>
      </c>
      <c r="F34" s="48" t="s">
        <v>61</v>
      </c>
      <c r="G34" s="23">
        <f t="shared" si="0"/>
        <v>56103.012999999999</v>
      </c>
      <c r="H34" s="23">
        <f>H35+H37+H40+H44</f>
        <v>0</v>
      </c>
      <c r="I34" s="23">
        <f>I35+I37+I40+I44</f>
        <v>45280.793000000005</v>
      </c>
      <c r="J34" s="23">
        <f>J35+J37+J40+J44</f>
        <v>3398.1619999999998</v>
      </c>
      <c r="K34" s="23">
        <f>K35+K37+K40+K44</f>
        <v>7424.058</v>
      </c>
      <c r="L34" s="19"/>
      <c r="M34" s="24"/>
      <c r="P34" s="25">
        <v>100</v>
      </c>
    </row>
    <row r="35" spans="3:16" s="17" customFormat="1" ht="22.5">
      <c r="C35" s="18"/>
      <c r="D35" s="20" t="s">
        <v>62</v>
      </c>
      <c r="E35" s="26" t="s">
        <v>63</v>
      </c>
      <c r="F35" s="22" t="s">
        <v>64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65</v>
      </c>
      <c r="E36" s="49" t="s">
        <v>66</v>
      </c>
      <c r="F36" s="22" t="s">
        <v>67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>
      <c r="C37" s="18"/>
      <c r="D37" s="20" t="s">
        <v>68</v>
      </c>
      <c r="E37" s="26" t="s">
        <v>69</v>
      </c>
      <c r="F37" s="22" t="s">
        <v>70</v>
      </c>
      <c r="G37" s="23">
        <f t="shared" si="0"/>
        <v>19919.367000000002</v>
      </c>
      <c r="H37" s="27"/>
      <c r="I37" s="27">
        <f>9097147/1000</f>
        <v>9097.1470000000008</v>
      </c>
      <c r="J37" s="27">
        <f>3398162/1000</f>
        <v>3398.1619999999998</v>
      </c>
      <c r="K37" s="27">
        <f>7424058/1000</f>
        <v>7424.058</v>
      </c>
      <c r="L37" s="19"/>
      <c r="M37" s="24"/>
      <c r="P37" s="25"/>
    </row>
    <row r="38" spans="3:16" s="17" customFormat="1" ht="15" customHeight="1">
      <c r="C38" s="18"/>
      <c r="D38" s="20" t="s">
        <v>71</v>
      </c>
      <c r="E38" s="49" t="s">
        <v>72</v>
      </c>
      <c r="F38" s="22" t="s">
        <v>73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74</v>
      </c>
      <c r="E39" s="50" t="s">
        <v>66</v>
      </c>
      <c r="F39" s="22" t="s">
        <v>75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>
      <c r="C40" s="18"/>
      <c r="D40" s="20" t="s">
        <v>76</v>
      </c>
      <c r="E40" s="26" t="s">
        <v>77</v>
      </c>
      <c r="F40" s="22" t="s">
        <v>78</v>
      </c>
      <c r="G40" s="23">
        <f t="shared" si="0"/>
        <v>36183.646000000001</v>
      </c>
      <c r="H40" s="23">
        <f>SUM(H41:H43)</f>
        <v>0</v>
      </c>
      <c r="I40" s="23">
        <f>SUM(I41:I43)</f>
        <v>36183.646000000001</v>
      </c>
      <c r="J40" s="23">
        <f>SUM(J41:J43)</f>
        <v>0</v>
      </c>
      <c r="K40" s="23">
        <f>SUM(K41:K43)</f>
        <v>0</v>
      </c>
      <c r="L40" s="19"/>
      <c r="M40" s="24"/>
      <c r="P40" s="25"/>
    </row>
    <row r="41" spans="3:16" s="17" customFormat="1" ht="12.75" hidden="1">
      <c r="C41" s="18"/>
      <c r="D41" s="28" t="s">
        <v>79</v>
      </c>
      <c r="E41" s="29"/>
      <c r="F41" s="30" t="s">
        <v>78</v>
      </c>
      <c r="G41" s="31"/>
      <c r="H41" s="31"/>
      <c r="I41" s="31"/>
      <c r="J41" s="31"/>
      <c r="K41" s="31"/>
      <c r="L41" s="19"/>
      <c r="M41" s="24"/>
      <c r="P41" s="25"/>
    </row>
    <row r="42" spans="3:16" s="17" customFormat="1" ht="15" customHeight="1">
      <c r="C42" s="32" t="s">
        <v>30</v>
      </c>
      <c r="D42" s="33" t="s">
        <v>80</v>
      </c>
      <c r="E42" s="34" t="s">
        <v>81</v>
      </c>
      <c r="F42" s="35">
        <v>751</v>
      </c>
      <c r="G42" s="36">
        <f>SUM(H42:K42)</f>
        <v>36183.646000000001</v>
      </c>
      <c r="H42" s="37"/>
      <c r="I42" s="37">
        <f>36183646/1000</f>
        <v>36183.646000000001</v>
      </c>
      <c r="J42" s="37"/>
      <c r="K42" s="38"/>
      <c r="L42" s="19"/>
      <c r="M42" s="39" t="s">
        <v>352</v>
      </c>
      <c r="N42" s="40" t="s">
        <v>353</v>
      </c>
      <c r="O42" s="40" t="s">
        <v>354</v>
      </c>
    </row>
    <row r="43" spans="3:16" s="17" customFormat="1" ht="15" customHeight="1">
      <c r="C43" s="18"/>
      <c r="D43" s="51"/>
      <c r="E43" s="42" t="s">
        <v>33</v>
      </c>
      <c r="F43" s="43"/>
      <c r="G43" s="43"/>
      <c r="H43" s="43"/>
      <c r="I43" s="43"/>
      <c r="J43" s="43"/>
      <c r="K43" s="44"/>
      <c r="L43" s="19"/>
      <c r="M43" s="24"/>
      <c r="P43" s="25"/>
    </row>
    <row r="44" spans="3:16" s="17" customFormat="1" ht="15" customHeight="1">
      <c r="C44" s="18"/>
      <c r="D44" s="20" t="s">
        <v>82</v>
      </c>
      <c r="E44" s="52" t="s">
        <v>83</v>
      </c>
      <c r="F44" s="22" t="s">
        <v>84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120</v>
      </c>
    </row>
    <row r="45" spans="3:16" s="17" customFormat="1" ht="15" customHeight="1">
      <c r="C45" s="18"/>
      <c r="D45" s="20" t="s">
        <v>85</v>
      </c>
      <c r="E45" s="21" t="s">
        <v>86</v>
      </c>
      <c r="F45" s="22" t="s">
        <v>87</v>
      </c>
      <c r="G45" s="23">
        <f t="shared" si="0"/>
        <v>19810.124999999985</v>
      </c>
      <c r="H45" s="27"/>
      <c r="I45" s="27">
        <f>I15-I34-I48</f>
        <v>11669.380999999992</v>
      </c>
      <c r="J45" s="27">
        <f>J19+J30-J37-J48</f>
        <v>8140.7439999999924</v>
      </c>
      <c r="K45" s="27"/>
      <c r="L45" s="19"/>
      <c r="M45" s="24"/>
      <c r="P45" s="25">
        <v>150</v>
      </c>
    </row>
    <row r="46" spans="3:16" s="17" customFormat="1" ht="15" customHeight="1">
      <c r="C46" s="18"/>
      <c r="D46" s="20" t="s">
        <v>88</v>
      </c>
      <c r="E46" s="21" t="s">
        <v>89</v>
      </c>
      <c r="F46" s="22" t="s">
        <v>90</v>
      </c>
      <c r="G46" s="23">
        <f t="shared" si="0"/>
        <v>0</v>
      </c>
      <c r="H46" s="27"/>
      <c r="I46" s="27"/>
      <c r="J46" s="27"/>
      <c r="K46" s="27"/>
      <c r="L46" s="19"/>
      <c r="M46" s="24"/>
      <c r="P46" s="25">
        <v>160</v>
      </c>
    </row>
    <row r="47" spans="3:16" s="17" customFormat="1" ht="15" customHeight="1">
      <c r="C47" s="18"/>
      <c r="D47" s="20" t="s">
        <v>91</v>
      </c>
      <c r="E47" s="21" t="s">
        <v>92</v>
      </c>
      <c r="F47" s="22" t="s">
        <v>93</v>
      </c>
      <c r="G47" s="23">
        <f t="shared" si="0"/>
        <v>0</v>
      </c>
      <c r="H47" s="27"/>
      <c r="I47" s="27"/>
      <c r="J47" s="27"/>
      <c r="K47" s="27"/>
      <c r="L47" s="19"/>
      <c r="M47" s="24"/>
      <c r="P47" s="25">
        <v>180</v>
      </c>
    </row>
    <row r="48" spans="3:16" s="17" customFormat="1" ht="15" customHeight="1">
      <c r="C48" s="18"/>
      <c r="D48" s="20" t="s">
        <v>94</v>
      </c>
      <c r="E48" s="21" t="s">
        <v>95</v>
      </c>
      <c r="F48" s="22" t="s">
        <v>96</v>
      </c>
      <c r="G48" s="23">
        <f t="shared" si="0"/>
        <v>1358.6379999999999</v>
      </c>
      <c r="H48" s="27"/>
      <c r="I48" s="27">
        <f>455617/1000</f>
        <v>455.61700000000002</v>
      </c>
      <c r="J48" s="27">
        <f>186335/1000</f>
        <v>186.33500000000001</v>
      </c>
      <c r="K48" s="27">
        <f>716686/1000</f>
        <v>716.68600000000004</v>
      </c>
      <c r="L48" s="19"/>
      <c r="M48" s="24"/>
      <c r="P48" s="25">
        <v>190</v>
      </c>
    </row>
    <row r="49" spans="3:16" s="17" customFormat="1" ht="15" customHeight="1">
      <c r="C49" s="18"/>
      <c r="D49" s="20" t="s">
        <v>97</v>
      </c>
      <c r="E49" s="26" t="s">
        <v>98</v>
      </c>
      <c r="F49" s="22" t="s">
        <v>99</v>
      </c>
      <c r="G49" s="23">
        <f t="shared" si="0"/>
        <v>0</v>
      </c>
      <c r="H49" s="27"/>
      <c r="I49" s="27"/>
      <c r="J49" s="27"/>
      <c r="K49" s="27"/>
      <c r="L49" s="19"/>
      <c r="M49" s="24"/>
      <c r="P49" s="25">
        <v>200</v>
      </c>
    </row>
    <row r="50" spans="3:16" s="17" customFormat="1" ht="15" customHeight="1">
      <c r="C50" s="18"/>
      <c r="D50" s="20" t="s">
        <v>100</v>
      </c>
      <c r="E50" s="21" t="s">
        <v>101</v>
      </c>
      <c r="F50" s="22" t="s">
        <v>102</v>
      </c>
      <c r="G50" s="23">
        <f t="shared" si="0"/>
        <v>3205.2</v>
      </c>
      <c r="H50" s="27"/>
      <c r="I50" s="27">
        <v>542.86647470337232</v>
      </c>
      <c r="J50" s="27">
        <v>1254.6829549783458</v>
      </c>
      <c r="K50" s="27">
        <v>1407.6505703182816</v>
      </c>
      <c r="L50" s="19"/>
      <c r="M50" s="24"/>
      <c r="P50" s="45"/>
    </row>
    <row r="51" spans="3:16" s="17" customFormat="1" ht="33.75">
      <c r="C51" s="18"/>
      <c r="D51" s="20" t="s">
        <v>103</v>
      </c>
      <c r="E51" s="47" t="s">
        <v>104</v>
      </c>
      <c r="F51" s="22" t="s">
        <v>105</v>
      </c>
      <c r="G51" s="23">
        <f t="shared" si="0"/>
        <v>-1846.5619999999994</v>
      </c>
      <c r="H51" s="23">
        <f>H48-H50</f>
        <v>0</v>
      </c>
      <c r="I51" s="23">
        <f>I48-I50</f>
        <v>-87.2494747033723</v>
      </c>
      <c r="J51" s="23">
        <f>J48-J50</f>
        <v>-1068.3479549783458</v>
      </c>
      <c r="K51" s="23">
        <f>K48-K50</f>
        <v>-690.96457031828152</v>
      </c>
      <c r="L51" s="19"/>
      <c r="M51" s="24"/>
      <c r="P51" s="45"/>
    </row>
    <row r="52" spans="3:16" s="17" customFormat="1" ht="15" customHeight="1">
      <c r="C52" s="18"/>
      <c r="D52" s="20" t="s">
        <v>106</v>
      </c>
      <c r="E52" s="21" t="s">
        <v>107</v>
      </c>
      <c r="F52" s="22" t="s">
        <v>108</v>
      </c>
      <c r="G52" s="23">
        <f t="shared" si="0"/>
        <v>-7.2759576141834259E-12</v>
      </c>
      <c r="H52" s="23">
        <f>(H15+H28+H33)-(H34+H45+H46+H47+H48)</f>
        <v>0</v>
      </c>
      <c r="I52" s="23">
        <f>(I15+I28+I33)-(I34+I45+I46+I47+I48)</f>
        <v>0</v>
      </c>
      <c r="J52" s="23">
        <f>(J15+J28+J33)-(J34+J45+J46+J47+J48)</f>
        <v>0</v>
      </c>
      <c r="K52" s="23">
        <f>(K15+K28+K33)-(K34+K45+K46+K47+K48)</f>
        <v>-7.2759576141834259E-12</v>
      </c>
      <c r="L52" s="19"/>
      <c r="M52" s="24"/>
      <c r="P52" s="25">
        <v>210</v>
      </c>
    </row>
    <row r="53" spans="3:16" s="17" customFormat="1" ht="15" customHeight="1">
      <c r="C53" s="18"/>
      <c r="D53" s="83" t="s">
        <v>109</v>
      </c>
      <c r="E53" s="84"/>
      <c r="F53" s="84"/>
      <c r="G53" s="84"/>
      <c r="H53" s="84"/>
      <c r="I53" s="84"/>
      <c r="J53" s="84"/>
      <c r="K53" s="85"/>
      <c r="L53" s="19"/>
      <c r="M53" s="24"/>
      <c r="P53" s="45"/>
    </row>
    <row r="54" spans="3:16" s="17" customFormat="1" ht="15" customHeight="1">
      <c r="C54" s="18"/>
      <c r="D54" s="20" t="s">
        <v>110</v>
      </c>
      <c r="E54" s="21" t="s">
        <v>23</v>
      </c>
      <c r="F54" s="22" t="s">
        <v>111</v>
      </c>
      <c r="G54" s="23">
        <f t="shared" si="0"/>
        <v>6.650654050925926</v>
      </c>
      <c r="H54" s="23">
        <f>H55+H56+H60+H63</f>
        <v>0</v>
      </c>
      <c r="I54" s="23">
        <f>I55+I56+I60+I63</f>
        <v>6.6441887731481479</v>
      </c>
      <c r="J54" s="23">
        <f>J55+J56+J60+J63</f>
        <v>6.4652777777777781E-3</v>
      </c>
      <c r="K54" s="23">
        <f>K55+K56+K60+K63</f>
        <v>0</v>
      </c>
      <c r="L54" s="19"/>
      <c r="M54" s="24"/>
      <c r="P54" s="25">
        <v>300</v>
      </c>
    </row>
    <row r="55" spans="3:16" s="17" customFormat="1" ht="15" customHeight="1">
      <c r="C55" s="18"/>
      <c r="D55" s="20" t="s">
        <v>112</v>
      </c>
      <c r="E55" s="26" t="s">
        <v>25</v>
      </c>
      <c r="F55" s="22" t="s">
        <v>113</v>
      </c>
      <c r="G55" s="23">
        <f t="shared" si="0"/>
        <v>0</v>
      </c>
      <c r="H55" s="27"/>
      <c r="I55" s="27"/>
      <c r="J55" s="27"/>
      <c r="K55" s="27"/>
      <c r="L55" s="19"/>
      <c r="M55" s="24"/>
      <c r="P55" s="25">
        <v>310</v>
      </c>
    </row>
    <row r="56" spans="3:16" s="17" customFormat="1" ht="15" customHeight="1">
      <c r="C56" s="18"/>
      <c r="D56" s="20" t="s">
        <v>114</v>
      </c>
      <c r="E56" s="26" t="s">
        <v>27</v>
      </c>
      <c r="F56" s="22" t="s">
        <v>115</v>
      </c>
      <c r="G56" s="23">
        <f t="shared" si="0"/>
        <v>6.4652777777777781E-3</v>
      </c>
      <c r="H56" s="23">
        <f>SUM(H57:H59)</f>
        <v>0</v>
      </c>
      <c r="I56" s="23">
        <f>SUM(I57:I59)</f>
        <v>0</v>
      </c>
      <c r="J56" s="23">
        <f>SUM(J57:J59)</f>
        <v>6.4652777777777781E-3</v>
      </c>
      <c r="K56" s="23">
        <f>SUM(K57:K59)</f>
        <v>0</v>
      </c>
      <c r="L56" s="19"/>
      <c r="M56" s="24"/>
      <c r="P56" s="25">
        <v>320</v>
      </c>
    </row>
    <row r="57" spans="3:16" s="17" customFormat="1" ht="12.75" hidden="1">
      <c r="C57" s="18"/>
      <c r="D57" s="28" t="s">
        <v>116</v>
      </c>
      <c r="E57" s="29"/>
      <c r="F57" s="30" t="s">
        <v>115</v>
      </c>
      <c r="G57" s="31"/>
      <c r="H57" s="31"/>
      <c r="I57" s="31"/>
      <c r="J57" s="31"/>
      <c r="K57" s="31"/>
      <c r="L57" s="19"/>
      <c r="M57" s="24"/>
      <c r="P57" s="25"/>
    </row>
    <row r="58" spans="3:16" s="17" customFormat="1" ht="15" customHeight="1">
      <c r="C58" s="32" t="s">
        <v>30</v>
      </c>
      <c r="D58" s="33" t="s">
        <v>117</v>
      </c>
      <c r="E58" s="34" t="s">
        <v>32</v>
      </c>
      <c r="F58" s="35">
        <v>1061</v>
      </c>
      <c r="G58" s="36">
        <f>SUM(H58:K58)</f>
        <v>6.4652777777777781E-3</v>
      </c>
      <c r="H58" s="37"/>
      <c r="I58" s="37"/>
      <c r="J58" s="37">
        <f>J19/8640</f>
        <v>6.4652777777777781E-3</v>
      </c>
      <c r="K58" s="38"/>
      <c r="L58" s="19"/>
      <c r="M58" s="39" t="s">
        <v>346</v>
      </c>
      <c r="N58" s="40" t="s">
        <v>347</v>
      </c>
      <c r="O58" s="40" t="s">
        <v>348</v>
      </c>
    </row>
    <row r="59" spans="3:16" s="17" customFormat="1" ht="15" customHeight="1">
      <c r="C59" s="18"/>
      <c r="D59" s="41"/>
      <c r="E59" s="42" t="s">
        <v>33</v>
      </c>
      <c r="F59" s="43"/>
      <c r="G59" s="43"/>
      <c r="H59" s="43"/>
      <c r="I59" s="43"/>
      <c r="J59" s="43"/>
      <c r="K59" s="44"/>
      <c r="L59" s="19"/>
      <c r="M59" s="24"/>
      <c r="P59" s="25"/>
    </row>
    <row r="60" spans="3:16" s="17" customFormat="1" ht="15" customHeight="1">
      <c r="C60" s="18"/>
      <c r="D60" s="20" t="s">
        <v>118</v>
      </c>
      <c r="E60" s="26" t="s">
        <v>35</v>
      </c>
      <c r="F60" s="22" t="s">
        <v>119</v>
      </c>
      <c r="G60" s="23">
        <f t="shared" si="0"/>
        <v>0</v>
      </c>
      <c r="H60" s="23">
        <f>SUM(H61:H62)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19"/>
      <c r="M60" s="24"/>
      <c r="P60" s="25"/>
    </row>
    <row r="61" spans="3:16" s="17" customFormat="1" ht="12.75" hidden="1" customHeight="1">
      <c r="C61" s="18"/>
      <c r="D61" s="28" t="s">
        <v>120</v>
      </c>
      <c r="E61" s="29"/>
      <c r="F61" s="30" t="s">
        <v>119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customHeight="1">
      <c r="C62" s="18"/>
      <c r="D62" s="41"/>
      <c r="E62" s="42" t="s">
        <v>33</v>
      </c>
      <c r="F62" s="43"/>
      <c r="G62" s="43"/>
      <c r="H62" s="43"/>
      <c r="I62" s="43"/>
      <c r="J62" s="43"/>
      <c r="K62" s="44"/>
      <c r="L62" s="19"/>
      <c r="M62" s="24"/>
      <c r="P62" s="25"/>
    </row>
    <row r="63" spans="3:16" s="17" customFormat="1" ht="15" customHeight="1">
      <c r="C63" s="18"/>
      <c r="D63" s="20" t="s">
        <v>121</v>
      </c>
      <c r="E63" s="26" t="s">
        <v>39</v>
      </c>
      <c r="F63" s="22" t="s">
        <v>122</v>
      </c>
      <c r="G63" s="23">
        <f t="shared" si="0"/>
        <v>6.6441887731481479</v>
      </c>
      <c r="H63" s="23">
        <f>SUM(H64:H66)</f>
        <v>0</v>
      </c>
      <c r="I63" s="23">
        <f>SUM(I64:I66)</f>
        <v>6.6441887731481479</v>
      </c>
      <c r="J63" s="23">
        <f>SUM(J64:J66)</f>
        <v>0</v>
      </c>
      <c r="K63" s="23">
        <f>SUM(K64:K66)</f>
        <v>0</v>
      </c>
      <c r="L63" s="19"/>
      <c r="M63" s="24"/>
      <c r="P63" s="25">
        <v>330</v>
      </c>
    </row>
    <row r="64" spans="3:16" s="17" customFormat="1" ht="12.75" hidden="1" customHeight="1">
      <c r="C64" s="18"/>
      <c r="D64" s="28" t="s">
        <v>123</v>
      </c>
      <c r="E64" s="29"/>
      <c r="F64" s="30" t="s">
        <v>122</v>
      </c>
      <c r="G64" s="31"/>
      <c r="H64" s="31"/>
      <c r="I64" s="31"/>
      <c r="J64" s="31"/>
      <c r="K64" s="31"/>
      <c r="L64" s="19"/>
      <c r="M64" s="24"/>
      <c r="P64" s="25"/>
    </row>
    <row r="65" spans="3:16" s="17" customFormat="1" ht="15" customHeight="1">
      <c r="C65" s="32" t="s">
        <v>30</v>
      </c>
      <c r="D65" s="33" t="s">
        <v>124</v>
      </c>
      <c r="E65" s="34" t="s">
        <v>43</v>
      </c>
      <c r="F65" s="35">
        <v>1461</v>
      </c>
      <c r="G65" s="36">
        <f>SUM(H65:K65)</f>
        <v>6.6441887731481479</v>
      </c>
      <c r="H65" s="37"/>
      <c r="I65" s="37">
        <f>I26/8640</f>
        <v>6.6441887731481479</v>
      </c>
      <c r="J65" s="37"/>
      <c r="K65" s="38"/>
      <c r="L65" s="19"/>
      <c r="M65" s="39" t="s">
        <v>349</v>
      </c>
      <c r="N65" s="40" t="s">
        <v>350</v>
      </c>
      <c r="O65" s="40" t="s">
        <v>351</v>
      </c>
    </row>
    <row r="66" spans="3:16" s="17" customFormat="1" ht="15" customHeight="1">
      <c r="C66" s="18"/>
      <c r="D66" s="41"/>
      <c r="E66" s="42" t="s">
        <v>33</v>
      </c>
      <c r="F66" s="43"/>
      <c r="G66" s="43"/>
      <c r="H66" s="43"/>
      <c r="I66" s="43"/>
      <c r="J66" s="43"/>
      <c r="K66" s="44"/>
      <c r="L66" s="19"/>
      <c r="M66" s="24"/>
      <c r="P66" s="25"/>
    </row>
    <row r="67" spans="3:16" s="17" customFormat="1" ht="15" customHeight="1">
      <c r="C67" s="18"/>
      <c r="D67" s="20" t="s">
        <v>125</v>
      </c>
      <c r="E67" s="21" t="s">
        <v>45</v>
      </c>
      <c r="F67" s="22" t="s">
        <v>126</v>
      </c>
      <c r="G67" s="23">
        <f t="shared" si="0"/>
        <v>2.292838541666665</v>
      </c>
      <c r="H67" s="23">
        <f>H69+H70+H71</f>
        <v>0</v>
      </c>
      <c r="I67" s="23">
        <f>I68+I70+I71</f>
        <v>0</v>
      </c>
      <c r="J67" s="23">
        <f>J68+J69+J71</f>
        <v>1.3506228009259249</v>
      </c>
      <c r="K67" s="23">
        <f>K68+K69+K70</f>
        <v>0.94221574074073988</v>
      </c>
      <c r="L67" s="19"/>
      <c r="M67" s="24"/>
      <c r="P67" s="25">
        <v>340</v>
      </c>
    </row>
    <row r="68" spans="3:16" s="17" customFormat="1" ht="15" customHeight="1">
      <c r="C68" s="18"/>
      <c r="D68" s="20" t="s">
        <v>127</v>
      </c>
      <c r="E68" s="26" t="s">
        <v>17</v>
      </c>
      <c r="F68" s="22" t="s">
        <v>128</v>
      </c>
      <c r="G68" s="23">
        <f t="shared" si="0"/>
        <v>0</v>
      </c>
      <c r="H68" s="46"/>
      <c r="I68" s="27"/>
      <c r="J68" s="27"/>
      <c r="K68" s="27"/>
      <c r="L68" s="19"/>
      <c r="M68" s="24"/>
      <c r="P68" s="25">
        <v>350</v>
      </c>
    </row>
    <row r="69" spans="3:16" s="17" customFormat="1" ht="15" customHeight="1">
      <c r="C69" s="18"/>
      <c r="D69" s="20" t="s">
        <v>129</v>
      </c>
      <c r="E69" s="26" t="s">
        <v>18</v>
      </c>
      <c r="F69" s="22" t="s">
        <v>130</v>
      </c>
      <c r="G69" s="23">
        <f t="shared" si="0"/>
        <v>1.3506228009259249</v>
      </c>
      <c r="H69" s="27"/>
      <c r="I69" s="53"/>
      <c r="J69" s="27">
        <f>J30/8640</f>
        <v>1.3506228009259249</v>
      </c>
      <c r="K69" s="27"/>
      <c r="L69" s="19"/>
      <c r="M69" s="24"/>
      <c r="P69" s="25">
        <v>360</v>
      </c>
    </row>
    <row r="70" spans="3:16" s="17" customFormat="1" ht="15" customHeight="1">
      <c r="C70" s="18"/>
      <c r="D70" s="20" t="s">
        <v>131</v>
      </c>
      <c r="E70" s="26" t="s">
        <v>19</v>
      </c>
      <c r="F70" s="22" t="s">
        <v>132</v>
      </c>
      <c r="G70" s="23">
        <f t="shared" si="0"/>
        <v>0.94221574074073988</v>
      </c>
      <c r="H70" s="27"/>
      <c r="I70" s="27"/>
      <c r="J70" s="46"/>
      <c r="K70" s="27">
        <f>K31/8640</f>
        <v>0.94221574074073988</v>
      </c>
      <c r="L70" s="19"/>
      <c r="M70" s="24"/>
      <c r="P70" s="25">
        <v>370</v>
      </c>
    </row>
    <row r="71" spans="3:16" s="17" customFormat="1" ht="15" customHeight="1">
      <c r="C71" s="18"/>
      <c r="D71" s="20" t="s">
        <v>133</v>
      </c>
      <c r="E71" s="26" t="s">
        <v>54</v>
      </c>
      <c r="F71" s="22" t="s">
        <v>134</v>
      </c>
      <c r="G71" s="23">
        <f t="shared" si="0"/>
        <v>0</v>
      </c>
      <c r="H71" s="27"/>
      <c r="I71" s="27"/>
      <c r="J71" s="27"/>
      <c r="K71" s="46"/>
      <c r="L71" s="19"/>
      <c r="M71" s="24"/>
      <c r="P71" s="25">
        <v>380</v>
      </c>
    </row>
    <row r="72" spans="3:16" s="17" customFormat="1" ht="15" customHeight="1">
      <c r="C72" s="18"/>
      <c r="D72" s="20" t="s">
        <v>135</v>
      </c>
      <c r="E72" s="47" t="s">
        <v>57</v>
      </c>
      <c r="F72" s="22" t="s">
        <v>136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137</v>
      </c>
      <c r="E73" s="21" t="s">
        <v>60</v>
      </c>
      <c r="F73" s="48" t="s">
        <v>138</v>
      </c>
      <c r="G73" s="23">
        <f t="shared" si="0"/>
        <v>6.4934042824074085</v>
      </c>
      <c r="H73" s="23">
        <f>H74+H76+H79+H83</f>
        <v>0</v>
      </c>
      <c r="I73" s="23">
        <f>I74+I76+I79+I83</f>
        <v>5.240832523148149</v>
      </c>
      <c r="J73" s="23">
        <f>J74+J76+J79+J83</f>
        <v>0.393305787037037</v>
      </c>
      <c r="K73" s="23">
        <f>K74+K76+K79+K83</f>
        <v>0.85926597222222223</v>
      </c>
      <c r="L73" s="19"/>
      <c r="M73" s="24"/>
      <c r="P73" s="25">
        <v>390</v>
      </c>
    </row>
    <row r="74" spans="3:16" s="17" customFormat="1" ht="22.5">
      <c r="C74" s="18"/>
      <c r="D74" s="20" t="s">
        <v>139</v>
      </c>
      <c r="E74" s="26" t="s">
        <v>63</v>
      </c>
      <c r="F74" s="22" t="s">
        <v>140</v>
      </c>
      <c r="G74" s="23">
        <f t="shared" si="0"/>
        <v>0</v>
      </c>
      <c r="H74" s="27"/>
      <c r="I74" s="27"/>
      <c r="J74" s="27"/>
      <c r="K74" s="27"/>
      <c r="L74" s="19"/>
      <c r="M74" s="24"/>
      <c r="P74" s="25"/>
    </row>
    <row r="75" spans="3:16" s="17" customFormat="1" ht="15" customHeight="1">
      <c r="C75" s="18"/>
      <c r="D75" s="20" t="s">
        <v>141</v>
      </c>
      <c r="E75" s="49" t="s">
        <v>66</v>
      </c>
      <c r="F75" s="22" t="s">
        <v>142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143</v>
      </c>
      <c r="E76" s="26" t="s">
        <v>69</v>
      </c>
      <c r="F76" s="22" t="s">
        <v>144</v>
      </c>
      <c r="G76" s="23">
        <f t="shared" si="0"/>
        <v>2.3054822916666664</v>
      </c>
      <c r="H76" s="27"/>
      <c r="I76" s="27">
        <f>I37/8640</f>
        <v>1.0529105324074075</v>
      </c>
      <c r="J76" s="27">
        <f>J37/8640</f>
        <v>0.393305787037037</v>
      </c>
      <c r="K76" s="27">
        <f>K37/8640</f>
        <v>0.85926597222222223</v>
      </c>
      <c r="L76" s="19"/>
      <c r="M76" s="24"/>
      <c r="P76" s="25"/>
    </row>
    <row r="77" spans="3:16" s="17" customFormat="1" ht="15" customHeight="1">
      <c r="C77" s="18"/>
      <c r="D77" s="20" t="s">
        <v>145</v>
      </c>
      <c r="E77" s="49" t="s">
        <v>72</v>
      </c>
      <c r="F77" s="22" t="s">
        <v>146</v>
      </c>
      <c r="G77" s="23">
        <f t="shared" si="0"/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>
      <c r="C78" s="18"/>
      <c r="D78" s="20" t="s">
        <v>147</v>
      </c>
      <c r="E78" s="50" t="s">
        <v>66</v>
      </c>
      <c r="F78" s="22" t="s">
        <v>148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>
      <c r="C79" s="18"/>
      <c r="D79" s="20" t="s">
        <v>149</v>
      </c>
      <c r="E79" s="26" t="s">
        <v>77</v>
      </c>
      <c r="F79" s="22" t="s">
        <v>150</v>
      </c>
      <c r="G79" s="23">
        <f t="shared" si="0"/>
        <v>4.1879219907407412</v>
      </c>
      <c r="H79" s="23">
        <f>SUM(H80:H82)</f>
        <v>0</v>
      </c>
      <c r="I79" s="23">
        <f>SUM(I80:I82)</f>
        <v>4.1879219907407412</v>
      </c>
      <c r="J79" s="23">
        <f>SUM(J80:J82)</f>
        <v>0</v>
      </c>
      <c r="K79" s="23">
        <f>SUM(K80:K82)</f>
        <v>0</v>
      </c>
      <c r="L79" s="19"/>
      <c r="M79" s="24"/>
      <c r="P79" s="25"/>
    </row>
    <row r="80" spans="3:16" s="17" customFormat="1" ht="12.75" hidden="1" customHeight="1">
      <c r="C80" s="18"/>
      <c r="D80" s="28" t="s">
        <v>151</v>
      </c>
      <c r="E80" s="29"/>
      <c r="F80" s="30" t="s">
        <v>150</v>
      </c>
      <c r="G80" s="31"/>
      <c r="H80" s="31"/>
      <c r="I80" s="31"/>
      <c r="J80" s="31"/>
      <c r="K80" s="31"/>
      <c r="L80" s="19"/>
      <c r="M80" s="24"/>
      <c r="P80" s="25"/>
    </row>
    <row r="81" spans="3:16" s="17" customFormat="1" ht="15" customHeight="1">
      <c r="C81" s="32" t="s">
        <v>30</v>
      </c>
      <c r="D81" s="33" t="s">
        <v>152</v>
      </c>
      <c r="E81" s="34" t="s">
        <v>81</v>
      </c>
      <c r="F81" s="35">
        <v>1781</v>
      </c>
      <c r="G81" s="36">
        <f>SUM(H81:K81)</f>
        <v>4.1879219907407412</v>
      </c>
      <c r="H81" s="37"/>
      <c r="I81" s="37">
        <f>I42/8640</f>
        <v>4.1879219907407412</v>
      </c>
      <c r="J81" s="37"/>
      <c r="K81" s="38"/>
      <c r="L81" s="19"/>
      <c r="M81" s="39" t="s">
        <v>352</v>
      </c>
      <c r="N81" s="40" t="s">
        <v>353</v>
      </c>
      <c r="O81" s="40" t="s">
        <v>354</v>
      </c>
    </row>
    <row r="82" spans="3:16" s="17" customFormat="1" ht="15" customHeight="1">
      <c r="C82" s="18"/>
      <c r="D82" s="41"/>
      <c r="E82" s="42" t="s">
        <v>33</v>
      </c>
      <c r="F82" s="43"/>
      <c r="G82" s="43"/>
      <c r="H82" s="43"/>
      <c r="I82" s="43"/>
      <c r="J82" s="43"/>
      <c r="K82" s="44"/>
      <c r="L82" s="19"/>
      <c r="M82" s="24"/>
      <c r="P82" s="25"/>
    </row>
    <row r="83" spans="3:16" s="17" customFormat="1" ht="15" customHeight="1">
      <c r="C83" s="18"/>
      <c r="D83" s="20" t="s">
        <v>153</v>
      </c>
      <c r="E83" s="52" t="s">
        <v>83</v>
      </c>
      <c r="F83" s="22" t="s">
        <v>154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>
        <v>410</v>
      </c>
    </row>
    <row r="84" spans="3:16" s="17" customFormat="1" ht="15" customHeight="1">
      <c r="C84" s="18"/>
      <c r="D84" s="20" t="s">
        <v>155</v>
      </c>
      <c r="E84" s="21" t="s">
        <v>86</v>
      </c>
      <c r="F84" s="22" t="s">
        <v>156</v>
      </c>
      <c r="G84" s="23">
        <f t="shared" si="0"/>
        <v>2.292838541666665</v>
      </c>
      <c r="H84" s="27"/>
      <c r="I84" s="27">
        <f>I45/8640</f>
        <v>1.3506228009259249</v>
      </c>
      <c r="J84" s="27">
        <f>J45/8640</f>
        <v>0.94221574074073988</v>
      </c>
      <c r="K84" s="27"/>
      <c r="L84" s="19"/>
      <c r="M84" s="24"/>
      <c r="P84" s="25">
        <v>440</v>
      </c>
    </row>
    <row r="85" spans="3:16" s="17" customFormat="1" ht="15" customHeight="1">
      <c r="C85" s="18"/>
      <c r="D85" s="20" t="s">
        <v>157</v>
      </c>
      <c r="E85" s="21" t="s">
        <v>89</v>
      </c>
      <c r="F85" s="22" t="s">
        <v>158</v>
      </c>
      <c r="G85" s="23">
        <f t="shared" si="0"/>
        <v>0</v>
      </c>
      <c r="H85" s="27"/>
      <c r="I85" s="27"/>
      <c r="J85" s="27"/>
      <c r="K85" s="27"/>
      <c r="L85" s="19"/>
      <c r="M85" s="24"/>
      <c r="P85" s="25">
        <v>450</v>
      </c>
    </row>
    <row r="86" spans="3:16" s="17" customFormat="1" ht="15" customHeight="1">
      <c r="C86" s="18"/>
      <c r="D86" s="20" t="s">
        <v>159</v>
      </c>
      <c r="E86" s="21" t="s">
        <v>92</v>
      </c>
      <c r="F86" s="22" t="s">
        <v>160</v>
      </c>
      <c r="G86" s="23">
        <f t="shared" si="0"/>
        <v>0</v>
      </c>
      <c r="H86" s="27"/>
      <c r="I86" s="27"/>
      <c r="J86" s="27"/>
      <c r="K86" s="27"/>
      <c r="L86" s="19"/>
      <c r="M86" s="24"/>
      <c r="P86" s="25">
        <v>470</v>
      </c>
    </row>
    <row r="87" spans="3:16" s="17" customFormat="1" ht="15" customHeight="1">
      <c r="C87" s="18"/>
      <c r="D87" s="20" t="s">
        <v>161</v>
      </c>
      <c r="E87" s="21" t="s">
        <v>95</v>
      </c>
      <c r="F87" s="22" t="s">
        <v>162</v>
      </c>
      <c r="G87" s="23">
        <f t="shared" si="0"/>
        <v>0.15724976851851852</v>
      </c>
      <c r="H87" s="27"/>
      <c r="I87" s="27">
        <f>I48/8640</f>
        <v>5.2733449074074075E-2</v>
      </c>
      <c r="J87" s="27">
        <f>J48/8640</f>
        <v>2.1566550925925927E-2</v>
      </c>
      <c r="K87" s="27">
        <f>K48/8640</f>
        <v>8.2949768518518527E-2</v>
      </c>
      <c r="L87" s="19"/>
      <c r="M87" s="24"/>
      <c r="P87" s="25">
        <v>480</v>
      </c>
    </row>
    <row r="88" spans="3:16" s="17" customFormat="1" ht="15" customHeight="1">
      <c r="C88" s="18"/>
      <c r="D88" s="20" t="s">
        <v>163</v>
      </c>
      <c r="E88" s="26" t="s">
        <v>164</v>
      </c>
      <c r="F88" s="22" t="s">
        <v>165</v>
      </c>
      <c r="G88" s="23">
        <f t="shared" si="0"/>
        <v>0</v>
      </c>
      <c r="H88" s="27"/>
      <c r="I88" s="27"/>
      <c r="J88" s="27"/>
      <c r="K88" s="27"/>
      <c r="L88" s="19"/>
      <c r="M88" s="24"/>
      <c r="P88" s="25">
        <v>490</v>
      </c>
    </row>
    <row r="89" spans="3:16" s="17" customFormat="1" ht="15" customHeight="1">
      <c r="C89" s="18"/>
      <c r="D89" s="20" t="s">
        <v>166</v>
      </c>
      <c r="E89" s="21" t="s">
        <v>101</v>
      </c>
      <c r="F89" s="22" t="s">
        <v>167</v>
      </c>
      <c r="G89" s="23">
        <f t="shared" si="0"/>
        <v>0.3709722222222222</v>
      </c>
      <c r="H89" s="27"/>
      <c r="I89" s="27">
        <f>I50/8640</f>
        <v>6.2831767905482908E-2</v>
      </c>
      <c r="J89" s="27">
        <f>J50/8640</f>
        <v>0.14521793460397522</v>
      </c>
      <c r="K89" s="27">
        <f>K50/8640</f>
        <v>0.16292251971276406</v>
      </c>
      <c r="L89" s="19"/>
      <c r="M89" s="24"/>
      <c r="P89" s="25"/>
    </row>
    <row r="90" spans="3:16" s="17" customFormat="1" ht="33.75">
      <c r="C90" s="18"/>
      <c r="D90" s="20" t="s">
        <v>168</v>
      </c>
      <c r="E90" s="47" t="s">
        <v>104</v>
      </c>
      <c r="F90" s="22" t="s">
        <v>169</v>
      </c>
      <c r="G90" s="23">
        <f t="shared" si="0"/>
        <v>-0.21372245370370369</v>
      </c>
      <c r="H90" s="23">
        <f>H87-H89</f>
        <v>0</v>
      </c>
      <c r="I90" s="23">
        <f>I87-I89</f>
        <v>-1.0098318831408833E-2</v>
      </c>
      <c r="J90" s="23">
        <f>J87-J89</f>
        <v>-0.1236513836780493</v>
      </c>
      <c r="K90" s="23">
        <f>K87-K89</f>
        <v>-7.9972751194245531E-2</v>
      </c>
      <c r="L90" s="19"/>
      <c r="M90" s="24"/>
      <c r="P90" s="25"/>
    </row>
    <row r="91" spans="3:16" s="17" customFormat="1" ht="15" customHeight="1">
      <c r="C91" s="18"/>
      <c r="D91" s="20" t="s">
        <v>170</v>
      </c>
      <c r="E91" s="21" t="s">
        <v>107</v>
      </c>
      <c r="F91" s="22" t="s">
        <v>171</v>
      </c>
      <c r="G91" s="23">
        <f t="shared" si="0"/>
        <v>-8.8817841970012523E-16</v>
      </c>
      <c r="H91" s="23">
        <f>(H54+H67+H72)-(H73+H84+H85+H86+H87)</f>
        <v>0</v>
      </c>
      <c r="I91" s="23">
        <f>(I54+I67+I72)-(I73+I84+I85+I86+I87)</f>
        <v>0</v>
      </c>
      <c r="J91" s="23">
        <f>(J54+J67+J72)-(J73+J84+J85+J86+J87)</f>
        <v>0</v>
      </c>
      <c r="K91" s="23">
        <f>(K54+K67+K72)-(K73+K84+K85+K86+K87)</f>
        <v>-8.8817841970012523E-16</v>
      </c>
      <c r="L91" s="19"/>
      <c r="M91" s="24"/>
      <c r="P91" s="25">
        <v>500</v>
      </c>
    </row>
    <row r="92" spans="3:16" s="17" customFormat="1" ht="15" customHeight="1">
      <c r="C92" s="18"/>
      <c r="D92" s="83" t="s">
        <v>172</v>
      </c>
      <c r="E92" s="84"/>
      <c r="F92" s="84"/>
      <c r="G92" s="84"/>
      <c r="H92" s="84"/>
      <c r="I92" s="84"/>
      <c r="J92" s="84"/>
      <c r="K92" s="85"/>
      <c r="L92" s="19"/>
      <c r="M92" s="24"/>
      <c r="P92" s="45"/>
    </row>
    <row r="93" spans="3:16" s="17" customFormat="1" ht="15" customHeight="1">
      <c r="C93" s="18"/>
      <c r="D93" s="20" t="s">
        <v>173</v>
      </c>
      <c r="E93" s="21" t="s">
        <v>174</v>
      </c>
      <c r="F93" s="22" t="s">
        <v>175</v>
      </c>
      <c r="G93" s="23">
        <f t="shared" si="0"/>
        <v>0</v>
      </c>
      <c r="H93" s="27"/>
      <c r="I93" s="27"/>
      <c r="J93" s="27"/>
      <c r="K93" s="27"/>
      <c r="L93" s="19"/>
      <c r="M93" s="24"/>
      <c r="P93" s="25">
        <v>600</v>
      </c>
    </row>
    <row r="94" spans="3:16" s="17" customFormat="1" ht="15" customHeight="1">
      <c r="C94" s="18"/>
      <c r="D94" s="20" t="s">
        <v>176</v>
      </c>
      <c r="E94" s="21" t="s">
        <v>177</v>
      </c>
      <c r="F94" s="22" t="s">
        <v>178</v>
      </c>
      <c r="G94" s="23">
        <f t="shared" si="0"/>
        <v>10.55</v>
      </c>
      <c r="H94" s="27"/>
      <c r="I94" s="27">
        <v>10.55</v>
      </c>
      <c r="J94" s="27"/>
      <c r="K94" s="27"/>
      <c r="L94" s="19"/>
      <c r="M94" s="24"/>
      <c r="P94" s="25">
        <v>610</v>
      </c>
    </row>
    <row r="95" spans="3:16" s="17" customFormat="1" ht="15" customHeight="1">
      <c r="C95" s="18"/>
      <c r="D95" s="20" t="s">
        <v>179</v>
      </c>
      <c r="E95" s="21" t="s">
        <v>180</v>
      </c>
      <c r="F95" s="22" t="s">
        <v>181</v>
      </c>
      <c r="G95" s="23">
        <f t="shared" si="0"/>
        <v>0</v>
      </c>
      <c r="H95" s="27"/>
      <c r="I95" s="27"/>
      <c r="J95" s="27"/>
      <c r="K95" s="27"/>
      <c r="L95" s="19"/>
      <c r="M95" s="24"/>
      <c r="P95" s="25">
        <v>620</v>
      </c>
    </row>
    <row r="96" spans="3:16" s="17" customFormat="1" ht="15" customHeight="1">
      <c r="C96" s="18"/>
      <c r="D96" s="83" t="s">
        <v>182</v>
      </c>
      <c r="E96" s="84"/>
      <c r="F96" s="84"/>
      <c r="G96" s="84"/>
      <c r="H96" s="84"/>
      <c r="I96" s="84"/>
      <c r="J96" s="84"/>
      <c r="K96" s="85"/>
      <c r="L96" s="19"/>
      <c r="M96" s="24"/>
      <c r="P96" s="45"/>
    </row>
    <row r="97" spans="3:16" s="17" customFormat="1" ht="15" customHeight="1">
      <c r="C97" s="18"/>
      <c r="D97" s="20" t="s">
        <v>183</v>
      </c>
      <c r="E97" s="21" t="s">
        <v>184</v>
      </c>
      <c r="F97" s="22" t="s">
        <v>185</v>
      </c>
      <c r="G97" s="23">
        <f t="shared" si="0"/>
        <v>0</v>
      </c>
      <c r="H97" s="23">
        <f>SUM(H98:H99)</f>
        <v>0</v>
      </c>
      <c r="I97" s="23">
        <f>SUM(I98:I99)</f>
        <v>0</v>
      </c>
      <c r="J97" s="23">
        <f>SUM(J98:J99)</f>
        <v>0</v>
      </c>
      <c r="K97" s="23">
        <f>SUM(K98:K99)</f>
        <v>0</v>
      </c>
      <c r="L97" s="19"/>
      <c r="M97" s="24"/>
      <c r="P97" s="25">
        <v>700</v>
      </c>
    </row>
    <row r="98" spans="3:16" ht="15" customHeight="1">
      <c r="C98" s="6"/>
      <c r="D98" s="54" t="s">
        <v>186</v>
      </c>
      <c r="E98" s="26" t="s">
        <v>187</v>
      </c>
      <c r="F98" s="22" t="s">
        <v>188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710</v>
      </c>
    </row>
    <row r="99" spans="3:16" ht="15" customHeight="1">
      <c r="C99" s="6"/>
      <c r="D99" s="54" t="s">
        <v>189</v>
      </c>
      <c r="E99" s="26" t="s">
        <v>190</v>
      </c>
      <c r="F99" s="22" t="s">
        <v>191</v>
      </c>
      <c r="G99" s="23">
        <f t="shared" si="0"/>
        <v>0</v>
      </c>
      <c r="H99" s="56">
        <f>H102</f>
        <v>0</v>
      </c>
      <c r="I99" s="56">
        <f>I102</f>
        <v>0</v>
      </c>
      <c r="J99" s="56">
        <f>J102</f>
        <v>0</v>
      </c>
      <c r="K99" s="56">
        <f>K102</f>
        <v>0</v>
      </c>
      <c r="L99" s="13"/>
      <c r="M99" s="24"/>
      <c r="P99" s="25">
        <v>720</v>
      </c>
    </row>
    <row r="100" spans="3:16" ht="15" customHeight="1">
      <c r="C100" s="6"/>
      <c r="D100" s="54" t="s">
        <v>192</v>
      </c>
      <c r="E100" s="49" t="s">
        <v>193</v>
      </c>
      <c r="F100" s="22" t="s">
        <v>194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>
        <v>730</v>
      </c>
    </row>
    <row r="101" spans="3:16" ht="15" customHeight="1">
      <c r="C101" s="6"/>
      <c r="D101" s="54" t="s">
        <v>195</v>
      </c>
      <c r="E101" s="50" t="s">
        <v>196</v>
      </c>
      <c r="F101" s="22" t="s">
        <v>197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5" customHeight="1">
      <c r="C102" s="6"/>
      <c r="D102" s="54" t="s">
        <v>198</v>
      </c>
      <c r="E102" s="49" t="s">
        <v>199</v>
      </c>
      <c r="F102" s="22" t="s">
        <v>200</v>
      </c>
      <c r="G102" s="23">
        <f t="shared" si="0"/>
        <v>0</v>
      </c>
      <c r="H102" s="55"/>
      <c r="I102" s="55"/>
      <c r="J102" s="55"/>
      <c r="K102" s="55"/>
      <c r="L102" s="13"/>
      <c r="M102" s="24"/>
      <c r="P102" s="25">
        <v>740</v>
      </c>
    </row>
    <row r="103" spans="3:16" ht="15" customHeight="1">
      <c r="C103" s="6"/>
      <c r="D103" s="54" t="s">
        <v>201</v>
      </c>
      <c r="E103" s="21" t="s">
        <v>202</v>
      </c>
      <c r="F103" s="22" t="s">
        <v>203</v>
      </c>
      <c r="G103" s="23">
        <f t="shared" si="0"/>
        <v>0</v>
      </c>
      <c r="H103" s="56">
        <f>H104+H120</f>
        <v>0</v>
      </c>
      <c r="I103" s="56">
        <f>I104+I120</f>
        <v>0</v>
      </c>
      <c r="J103" s="56">
        <f>J104+J120</f>
        <v>0</v>
      </c>
      <c r="K103" s="56">
        <f>K104+K120</f>
        <v>0</v>
      </c>
      <c r="L103" s="13"/>
      <c r="M103" s="24"/>
      <c r="P103" s="25">
        <v>750</v>
      </c>
    </row>
    <row r="104" spans="3:16" ht="15" customHeight="1">
      <c r="C104" s="6"/>
      <c r="D104" s="54" t="s">
        <v>204</v>
      </c>
      <c r="E104" s="26" t="s">
        <v>205</v>
      </c>
      <c r="F104" s="22" t="s">
        <v>206</v>
      </c>
      <c r="G104" s="23">
        <f t="shared" si="0"/>
        <v>0</v>
      </c>
      <c r="H104" s="56">
        <f>H105+H106</f>
        <v>0</v>
      </c>
      <c r="I104" s="56">
        <f>I105+I106</f>
        <v>0</v>
      </c>
      <c r="J104" s="56">
        <f>J105+J106</f>
        <v>0</v>
      </c>
      <c r="K104" s="56">
        <f>K105+K106</f>
        <v>0</v>
      </c>
      <c r="L104" s="13"/>
      <c r="M104" s="24"/>
      <c r="P104" s="25">
        <v>760</v>
      </c>
    </row>
    <row r="105" spans="3:16" ht="15" customHeight="1">
      <c r="C105" s="6"/>
      <c r="D105" s="54" t="s">
        <v>207</v>
      </c>
      <c r="E105" s="49" t="s">
        <v>208</v>
      </c>
      <c r="F105" s="22" t="s">
        <v>209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15" customHeight="1">
      <c r="C106" s="6"/>
      <c r="D106" s="54" t="s">
        <v>210</v>
      </c>
      <c r="E106" s="49" t="s">
        <v>211</v>
      </c>
      <c r="F106" s="22" t="s">
        <v>212</v>
      </c>
      <c r="G106" s="23">
        <f t="shared" si="0"/>
        <v>0</v>
      </c>
      <c r="H106" s="56">
        <f>H107+H110+H113+H116+H117+H118+H119</f>
        <v>0</v>
      </c>
      <c r="I106" s="56">
        <f>I107+I110+I113+I116+I117+I118+I119</f>
        <v>0</v>
      </c>
      <c r="J106" s="56">
        <f>J107+J110+J113+J116+J117+J118+J119</f>
        <v>0</v>
      </c>
      <c r="K106" s="56">
        <f>K107+K110+K113+K116+K117+K118+K119</f>
        <v>0</v>
      </c>
      <c r="L106" s="13"/>
      <c r="M106" s="24"/>
      <c r="P106" s="25"/>
    </row>
    <row r="107" spans="3:16" ht="45">
      <c r="C107" s="6"/>
      <c r="D107" s="54" t="s">
        <v>213</v>
      </c>
      <c r="E107" s="50" t="s">
        <v>214</v>
      </c>
      <c r="F107" s="22" t="s">
        <v>215</v>
      </c>
      <c r="G107" s="23">
        <f t="shared" si="0"/>
        <v>0</v>
      </c>
      <c r="H107" s="57">
        <f>H108+H109</f>
        <v>0</v>
      </c>
      <c r="I107" s="57">
        <f>I108+I109</f>
        <v>0</v>
      </c>
      <c r="J107" s="57">
        <f>J108+J109</f>
        <v>0</v>
      </c>
      <c r="K107" s="57">
        <f>K108+K109</f>
        <v>0</v>
      </c>
      <c r="L107" s="13"/>
      <c r="M107" s="24"/>
      <c r="P107" s="25"/>
    </row>
    <row r="108" spans="3:16" ht="15" customHeight="1">
      <c r="C108" s="6"/>
      <c r="D108" s="54" t="s">
        <v>216</v>
      </c>
      <c r="E108" s="58" t="s">
        <v>217</v>
      </c>
      <c r="F108" s="22" t="s">
        <v>218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15" customHeight="1">
      <c r="C109" s="6"/>
      <c r="D109" s="54" t="s">
        <v>219</v>
      </c>
      <c r="E109" s="58" t="s">
        <v>220</v>
      </c>
      <c r="F109" s="22" t="s">
        <v>221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45">
      <c r="C110" s="6"/>
      <c r="D110" s="54" t="s">
        <v>222</v>
      </c>
      <c r="E110" s="50" t="s">
        <v>223</v>
      </c>
      <c r="F110" s="22" t="s">
        <v>224</v>
      </c>
      <c r="G110" s="23">
        <f t="shared" si="0"/>
        <v>0</v>
      </c>
      <c r="H110" s="57">
        <f>H111+H112</f>
        <v>0</v>
      </c>
      <c r="I110" s="57">
        <f>I111+I112</f>
        <v>0</v>
      </c>
      <c r="J110" s="57">
        <f>J111+J112</f>
        <v>0</v>
      </c>
      <c r="K110" s="57">
        <f>K111+K112</f>
        <v>0</v>
      </c>
      <c r="L110" s="13"/>
      <c r="M110" s="24"/>
      <c r="P110" s="25"/>
    </row>
    <row r="111" spans="3:16" ht="15" customHeight="1">
      <c r="C111" s="6"/>
      <c r="D111" s="54" t="s">
        <v>225</v>
      </c>
      <c r="E111" s="58" t="s">
        <v>217</v>
      </c>
      <c r="F111" s="22" t="s">
        <v>226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>
      <c r="C112" s="6"/>
      <c r="D112" s="54" t="s">
        <v>227</v>
      </c>
      <c r="E112" s="58" t="s">
        <v>220</v>
      </c>
      <c r="F112" s="22" t="s">
        <v>228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229</v>
      </c>
      <c r="E113" s="50" t="s">
        <v>230</v>
      </c>
      <c r="F113" s="22" t="s">
        <v>231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>
      <c r="C114" s="6"/>
      <c r="D114" s="54" t="s">
        <v>232</v>
      </c>
      <c r="E114" s="58" t="s">
        <v>217</v>
      </c>
      <c r="F114" s="22" t="s">
        <v>233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234</v>
      </c>
      <c r="E115" s="58" t="s">
        <v>220</v>
      </c>
      <c r="F115" s="22" t="s">
        <v>235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5" customHeight="1">
      <c r="C116" s="6"/>
      <c r="D116" s="54" t="s">
        <v>236</v>
      </c>
      <c r="E116" s="50" t="s">
        <v>237</v>
      </c>
      <c r="F116" s="22" t="s">
        <v>238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5" customHeight="1">
      <c r="C117" s="6"/>
      <c r="D117" s="54" t="s">
        <v>239</v>
      </c>
      <c r="E117" s="50" t="s">
        <v>240</v>
      </c>
      <c r="F117" s="22" t="s">
        <v>241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9.5" customHeight="1">
      <c r="C118" s="6"/>
      <c r="D118" s="54" t="s">
        <v>242</v>
      </c>
      <c r="E118" s="50" t="s">
        <v>243</v>
      </c>
      <c r="F118" s="22" t="s">
        <v>244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3.5" customHeight="1">
      <c r="C119" s="6"/>
      <c r="D119" s="54" t="s">
        <v>245</v>
      </c>
      <c r="E119" s="50" t="s">
        <v>246</v>
      </c>
      <c r="F119" s="22" t="s">
        <v>247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248</v>
      </c>
      <c r="E120" s="26" t="s">
        <v>249</v>
      </c>
      <c r="F120" s="22" t="s">
        <v>250</v>
      </c>
      <c r="G120" s="23">
        <f t="shared" si="0"/>
        <v>0</v>
      </c>
      <c r="H120" s="56">
        <f>H123</f>
        <v>0</v>
      </c>
      <c r="I120" s="56">
        <f>I123</f>
        <v>0</v>
      </c>
      <c r="J120" s="56">
        <f>J123</f>
        <v>0</v>
      </c>
      <c r="K120" s="56">
        <f>K123</f>
        <v>0</v>
      </c>
      <c r="L120" s="13"/>
      <c r="M120" s="24"/>
      <c r="P120" s="25">
        <v>770</v>
      </c>
    </row>
    <row r="121" spans="3:16" ht="15" customHeight="1">
      <c r="C121" s="6"/>
      <c r="D121" s="54" t="s">
        <v>251</v>
      </c>
      <c r="E121" s="49" t="s">
        <v>193</v>
      </c>
      <c r="F121" s="22" t="s">
        <v>252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>
        <v>780</v>
      </c>
    </row>
    <row r="122" spans="3:16" ht="15" customHeight="1">
      <c r="C122" s="6"/>
      <c r="D122" s="54" t="s">
        <v>253</v>
      </c>
      <c r="E122" s="50" t="s">
        <v>254</v>
      </c>
      <c r="F122" s="22" t="s">
        <v>255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>
      <c r="C123" s="6"/>
      <c r="D123" s="54" t="s">
        <v>256</v>
      </c>
      <c r="E123" s="49" t="s">
        <v>199</v>
      </c>
      <c r="F123" s="22" t="s">
        <v>257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>
        <v>790</v>
      </c>
    </row>
    <row r="124" spans="3:16" ht="27" customHeight="1">
      <c r="C124" s="6"/>
      <c r="D124" s="54" t="s">
        <v>258</v>
      </c>
      <c r="E124" s="47" t="s">
        <v>259</v>
      </c>
      <c r="F124" s="22" t="s">
        <v>260</v>
      </c>
      <c r="G124" s="23">
        <f t="shared" si="0"/>
        <v>57461.650999999998</v>
      </c>
      <c r="H124" s="56">
        <f>SUM(H125:H126)</f>
        <v>0</v>
      </c>
      <c r="I124" s="56">
        <f>SUM(I125:I126)</f>
        <v>46639.431000000004</v>
      </c>
      <c r="J124" s="56">
        <f>SUM(J125:J126)</f>
        <v>3398.1619999999998</v>
      </c>
      <c r="K124" s="56">
        <f>SUM(K125:K126)</f>
        <v>7424.058</v>
      </c>
      <c r="L124" s="13"/>
      <c r="M124" s="24"/>
      <c r="P124" s="25"/>
    </row>
    <row r="125" spans="3:16" ht="15" customHeight="1">
      <c r="C125" s="6"/>
      <c r="D125" s="54" t="s">
        <v>261</v>
      </c>
      <c r="E125" s="26" t="s">
        <v>187</v>
      </c>
      <c r="F125" s="22" t="s">
        <v>262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>
      <c r="C126" s="6"/>
      <c r="D126" s="54" t="s">
        <v>263</v>
      </c>
      <c r="E126" s="26" t="s">
        <v>190</v>
      </c>
      <c r="F126" s="22" t="s">
        <v>264</v>
      </c>
      <c r="G126" s="23">
        <f t="shared" si="0"/>
        <v>57461.650999999998</v>
      </c>
      <c r="H126" s="56">
        <f>H128</f>
        <v>0</v>
      </c>
      <c r="I126" s="56">
        <f>I128</f>
        <v>46639.431000000004</v>
      </c>
      <c r="J126" s="56">
        <f>J128</f>
        <v>3398.1619999999998</v>
      </c>
      <c r="K126" s="56">
        <f>K128</f>
        <v>7424.058</v>
      </c>
      <c r="L126" s="13"/>
      <c r="M126" s="24"/>
      <c r="P126" s="25"/>
    </row>
    <row r="127" spans="3:16" ht="15" customHeight="1">
      <c r="C127" s="6"/>
      <c r="D127" s="54" t="s">
        <v>265</v>
      </c>
      <c r="E127" s="49" t="s">
        <v>266</v>
      </c>
      <c r="F127" s="22" t="s">
        <v>267</v>
      </c>
      <c r="G127" s="23">
        <f t="shared" si="0"/>
        <v>10.55</v>
      </c>
      <c r="H127" s="55"/>
      <c r="I127" s="55">
        <v>10.55</v>
      </c>
      <c r="J127" s="55"/>
      <c r="K127" s="55"/>
      <c r="L127" s="13"/>
      <c r="M127" s="24"/>
      <c r="P127" s="25"/>
    </row>
    <row r="128" spans="3:16" ht="15" customHeight="1">
      <c r="C128" s="6"/>
      <c r="D128" s="54" t="s">
        <v>268</v>
      </c>
      <c r="E128" s="49" t="s">
        <v>199</v>
      </c>
      <c r="F128" s="22" t="s">
        <v>269</v>
      </c>
      <c r="G128" s="23">
        <f t="shared" si="0"/>
        <v>57461.650999999998</v>
      </c>
      <c r="H128" s="55"/>
      <c r="I128" s="55">
        <f>I34+G48</f>
        <v>46639.431000000004</v>
      </c>
      <c r="J128" s="55">
        <f>J34</f>
        <v>3398.1619999999998</v>
      </c>
      <c r="K128" s="55">
        <f>K34</f>
        <v>7424.058</v>
      </c>
      <c r="L128" s="13"/>
      <c r="M128" s="24"/>
      <c r="P128" s="25"/>
    </row>
    <row r="129" spans="3:16" ht="15" customHeight="1">
      <c r="C129" s="6"/>
      <c r="D129" s="83" t="s">
        <v>270</v>
      </c>
      <c r="E129" s="84"/>
      <c r="F129" s="84"/>
      <c r="G129" s="84"/>
      <c r="H129" s="84"/>
      <c r="I129" s="84"/>
      <c r="J129" s="84"/>
      <c r="K129" s="85"/>
      <c r="L129" s="13"/>
      <c r="M129" s="24"/>
      <c r="P129" s="59"/>
    </row>
    <row r="130" spans="3:16" ht="22.5">
      <c r="C130" s="6"/>
      <c r="D130" s="54" t="s">
        <v>271</v>
      </c>
      <c r="E130" s="21" t="s">
        <v>272</v>
      </c>
      <c r="F130" s="22" t="s">
        <v>273</v>
      </c>
      <c r="G130" s="23">
        <f t="shared" si="0"/>
        <v>0</v>
      </c>
      <c r="H130" s="56">
        <f>SUM( H131:H132)</f>
        <v>0</v>
      </c>
      <c r="I130" s="56">
        <f>SUM( I131:I132)</f>
        <v>0</v>
      </c>
      <c r="J130" s="56">
        <f>SUM( J131:J132)</f>
        <v>0</v>
      </c>
      <c r="K130" s="56">
        <f>SUM( K131:K132)</f>
        <v>0</v>
      </c>
      <c r="L130" s="13"/>
      <c r="M130" s="24"/>
      <c r="P130" s="25">
        <v>800</v>
      </c>
    </row>
    <row r="131" spans="3:16" ht="15" customHeight="1">
      <c r="C131" s="6"/>
      <c r="D131" s="54" t="s">
        <v>274</v>
      </c>
      <c r="E131" s="26" t="s">
        <v>187</v>
      </c>
      <c r="F131" s="22" t="s">
        <v>275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810</v>
      </c>
    </row>
    <row r="132" spans="3:16" ht="15" customHeight="1">
      <c r="C132" s="6"/>
      <c r="D132" s="54" t="s">
        <v>276</v>
      </c>
      <c r="E132" s="26" t="s">
        <v>190</v>
      </c>
      <c r="F132" s="22" t="s">
        <v>277</v>
      </c>
      <c r="G132" s="23">
        <f t="shared" si="0"/>
        <v>0</v>
      </c>
      <c r="H132" s="56">
        <f>H133+H135</f>
        <v>0</v>
      </c>
      <c r="I132" s="56">
        <f>I133+I135</f>
        <v>0</v>
      </c>
      <c r="J132" s="56">
        <f>J133+J135</f>
        <v>0</v>
      </c>
      <c r="K132" s="56">
        <f>K133+K135</f>
        <v>0</v>
      </c>
      <c r="L132" s="13"/>
      <c r="M132" s="24"/>
      <c r="P132" s="25">
        <v>820</v>
      </c>
    </row>
    <row r="133" spans="3:16" ht="15" customHeight="1">
      <c r="C133" s="6"/>
      <c r="D133" s="54" t="s">
        <v>278</v>
      </c>
      <c r="E133" s="49" t="s">
        <v>279</v>
      </c>
      <c r="F133" s="22" t="s">
        <v>280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>
        <v>830</v>
      </c>
    </row>
    <row r="134" spans="3:16" ht="15" customHeight="1">
      <c r="C134" s="6"/>
      <c r="D134" s="54" t="s">
        <v>281</v>
      </c>
      <c r="E134" s="50" t="s">
        <v>282</v>
      </c>
      <c r="F134" s="22" t="s">
        <v>283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59"/>
    </row>
    <row r="135" spans="3:16" ht="15" customHeight="1">
      <c r="C135" s="6"/>
      <c r="D135" s="54" t="s">
        <v>284</v>
      </c>
      <c r="E135" s="49" t="s">
        <v>285</v>
      </c>
      <c r="F135" s="22" t="s">
        <v>286</v>
      </c>
      <c r="G135" s="23">
        <f t="shared" si="0"/>
        <v>0</v>
      </c>
      <c r="H135" s="55"/>
      <c r="I135" s="55"/>
      <c r="J135" s="55"/>
      <c r="K135" s="55"/>
      <c r="L135" s="13"/>
      <c r="M135" s="24"/>
      <c r="P135" s="25">
        <v>840</v>
      </c>
    </row>
    <row r="136" spans="3:16" ht="15" customHeight="1">
      <c r="C136" s="6"/>
      <c r="D136" s="54" t="s">
        <v>29</v>
      </c>
      <c r="E136" s="21" t="s">
        <v>287</v>
      </c>
      <c r="F136" s="22" t="s">
        <v>288</v>
      </c>
      <c r="G136" s="23">
        <f t="shared" si="0"/>
        <v>0</v>
      </c>
      <c r="H136" s="57">
        <f>SUM( H137+H142)</f>
        <v>0</v>
      </c>
      <c r="I136" s="57">
        <f>SUM( I137+I142)</f>
        <v>0</v>
      </c>
      <c r="J136" s="57">
        <f>SUM( J137+J142)</f>
        <v>0</v>
      </c>
      <c r="K136" s="57">
        <f>SUM( K137+K142)</f>
        <v>0</v>
      </c>
      <c r="L136" s="60"/>
      <c r="M136" s="24"/>
      <c r="P136" s="25">
        <v>850</v>
      </c>
    </row>
    <row r="137" spans="3:16" ht="15" customHeight="1">
      <c r="C137" s="6"/>
      <c r="D137" s="54" t="s">
        <v>289</v>
      </c>
      <c r="E137" s="26" t="s">
        <v>187</v>
      </c>
      <c r="F137" s="22" t="s">
        <v>290</v>
      </c>
      <c r="G137" s="23">
        <f t="shared" ref="G137:G150" si="1">SUM(H137:K137)</f>
        <v>0</v>
      </c>
      <c r="H137" s="57">
        <f>SUM( H138:H139)</f>
        <v>0</v>
      </c>
      <c r="I137" s="57">
        <f>SUM( I138:I139)</f>
        <v>0</v>
      </c>
      <c r="J137" s="57">
        <f>SUM( J138:J139)</f>
        <v>0</v>
      </c>
      <c r="K137" s="57">
        <f>SUM( K138:K139)</f>
        <v>0</v>
      </c>
      <c r="L137" s="60"/>
      <c r="M137" s="24"/>
      <c r="P137" s="25">
        <v>860</v>
      </c>
    </row>
    <row r="138" spans="3:16" ht="15" customHeight="1">
      <c r="C138" s="6"/>
      <c r="D138" s="54" t="s">
        <v>291</v>
      </c>
      <c r="E138" s="49" t="s">
        <v>208</v>
      </c>
      <c r="F138" s="22" t="s">
        <v>292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293</v>
      </c>
      <c r="E139" s="49" t="s">
        <v>211</v>
      </c>
      <c r="F139" s="22" t="s">
        <v>294</v>
      </c>
      <c r="G139" s="23">
        <f t="shared" si="1"/>
        <v>0</v>
      </c>
      <c r="H139" s="57">
        <f>H140+H141</f>
        <v>0</v>
      </c>
      <c r="I139" s="57">
        <f>I140+I141</f>
        <v>0</v>
      </c>
      <c r="J139" s="57">
        <f>J140+J141</f>
        <v>0</v>
      </c>
      <c r="K139" s="57">
        <f>K140+K141</f>
        <v>0</v>
      </c>
      <c r="L139" s="60"/>
      <c r="M139" s="24"/>
      <c r="P139" s="25"/>
    </row>
    <row r="140" spans="3:16" ht="15" customHeight="1">
      <c r="C140" s="6"/>
      <c r="D140" s="54" t="s">
        <v>295</v>
      </c>
      <c r="E140" s="50" t="s">
        <v>217</v>
      </c>
      <c r="F140" s="22" t="s">
        <v>296</v>
      </c>
      <c r="G140" s="23">
        <f t="shared" si="1"/>
        <v>0</v>
      </c>
      <c r="H140" s="61"/>
      <c r="I140" s="61"/>
      <c r="J140" s="61"/>
      <c r="K140" s="61"/>
      <c r="L140" s="60"/>
      <c r="M140" s="24"/>
      <c r="P140" s="25"/>
    </row>
    <row r="141" spans="3:16" ht="15" customHeight="1">
      <c r="C141" s="6"/>
      <c r="D141" s="54" t="s">
        <v>297</v>
      </c>
      <c r="E141" s="50" t="s">
        <v>298</v>
      </c>
      <c r="F141" s="22" t="s">
        <v>299</v>
      </c>
      <c r="G141" s="23">
        <f t="shared" si="1"/>
        <v>0</v>
      </c>
      <c r="H141" s="61"/>
      <c r="I141" s="61"/>
      <c r="J141" s="61"/>
      <c r="K141" s="61"/>
      <c r="L141" s="60"/>
      <c r="M141" s="24"/>
      <c r="P141" s="25"/>
    </row>
    <row r="142" spans="3:16" ht="15" customHeight="1">
      <c r="C142" s="6"/>
      <c r="D142" s="54" t="s">
        <v>300</v>
      </c>
      <c r="E142" s="26" t="s">
        <v>249</v>
      </c>
      <c r="F142" s="22" t="s">
        <v>301</v>
      </c>
      <c r="G142" s="23">
        <f t="shared" si="1"/>
        <v>0</v>
      </c>
      <c r="H142" s="57">
        <f>H143+H145</f>
        <v>0</v>
      </c>
      <c r="I142" s="57">
        <f>I143+I145</f>
        <v>0</v>
      </c>
      <c r="J142" s="57">
        <f>J143+J145</f>
        <v>0</v>
      </c>
      <c r="K142" s="57">
        <f>K143+K145</f>
        <v>0</v>
      </c>
      <c r="L142" s="60"/>
      <c r="M142" s="24"/>
      <c r="P142" s="25">
        <v>870</v>
      </c>
    </row>
    <row r="143" spans="3:16" ht="15" customHeight="1">
      <c r="C143" s="6"/>
      <c r="D143" s="54" t="s">
        <v>302</v>
      </c>
      <c r="E143" s="49" t="s">
        <v>279</v>
      </c>
      <c r="F143" s="22" t="s">
        <v>303</v>
      </c>
      <c r="G143" s="23">
        <f t="shared" si="1"/>
        <v>0</v>
      </c>
      <c r="H143" s="55"/>
      <c r="I143" s="55"/>
      <c r="J143" s="55"/>
      <c r="K143" s="55"/>
      <c r="L143" s="60"/>
      <c r="M143" s="24"/>
      <c r="P143" s="25">
        <v>880</v>
      </c>
    </row>
    <row r="144" spans="3:16" ht="15" customHeight="1">
      <c r="C144" s="6"/>
      <c r="D144" s="54" t="s">
        <v>304</v>
      </c>
      <c r="E144" s="50" t="s">
        <v>282</v>
      </c>
      <c r="F144" s="22" t="s">
        <v>305</v>
      </c>
      <c r="G144" s="23">
        <f t="shared" si="1"/>
        <v>0</v>
      </c>
      <c r="H144" s="55"/>
      <c r="I144" s="55"/>
      <c r="J144" s="55"/>
      <c r="K144" s="55"/>
      <c r="L144" s="60"/>
      <c r="M144" s="24"/>
      <c r="P144" s="25"/>
    </row>
    <row r="145" spans="3:19" ht="15" customHeight="1">
      <c r="C145" s="6"/>
      <c r="D145" s="54" t="s">
        <v>306</v>
      </c>
      <c r="E145" s="49" t="s">
        <v>285</v>
      </c>
      <c r="F145" s="22" t="s">
        <v>307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>
        <v>890</v>
      </c>
    </row>
    <row r="146" spans="3:19" ht="28.5" customHeight="1">
      <c r="C146" s="6"/>
      <c r="D146" s="54" t="s">
        <v>308</v>
      </c>
      <c r="E146" s="21" t="s">
        <v>309</v>
      </c>
      <c r="F146" s="22" t="s">
        <v>310</v>
      </c>
      <c r="G146" s="23">
        <f t="shared" si="1"/>
        <v>31307.285489940004</v>
      </c>
      <c r="H146" s="63">
        <f>SUM( H147:H148)</f>
        <v>0</v>
      </c>
      <c r="I146" s="63">
        <f>SUM( I147:I148)</f>
        <v>29522.268523140006</v>
      </c>
      <c r="J146" s="63">
        <f>SUM( J147:J148)</f>
        <v>560.49284028</v>
      </c>
      <c r="K146" s="63">
        <f>SUM( K147:K148)</f>
        <v>1224.52412652</v>
      </c>
      <c r="L146" s="60"/>
      <c r="M146" s="24"/>
      <c r="P146" s="25">
        <v>900</v>
      </c>
    </row>
    <row r="147" spans="3:19" ht="15" customHeight="1">
      <c r="C147" s="6"/>
      <c r="D147" s="54" t="s">
        <v>311</v>
      </c>
      <c r="E147" s="26" t="s">
        <v>187</v>
      </c>
      <c r="F147" s="22" t="s">
        <v>312</v>
      </c>
      <c r="G147" s="23">
        <f t="shared" si="1"/>
        <v>0</v>
      </c>
      <c r="H147" s="62"/>
      <c r="I147" s="62"/>
      <c r="J147" s="62"/>
      <c r="K147" s="62"/>
      <c r="L147" s="60"/>
      <c r="M147" s="24"/>
      <c r="P147" s="25"/>
    </row>
    <row r="148" spans="3:19" ht="15" customHeight="1">
      <c r="C148" s="6"/>
      <c r="D148" s="54" t="s">
        <v>313</v>
      </c>
      <c r="E148" s="26" t="s">
        <v>190</v>
      </c>
      <c r="F148" s="22" t="s">
        <v>314</v>
      </c>
      <c r="G148" s="23">
        <f t="shared" si="1"/>
        <v>31307.285489940004</v>
      </c>
      <c r="H148" s="63">
        <f>H149+H150</f>
        <v>0</v>
      </c>
      <c r="I148" s="63">
        <f>I149+I150</f>
        <v>29522.268523140006</v>
      </c>
      <c r="J148" s="63">
        <f>J149+J150</f>
        <v>560.49284028</v>
      </c>
      <c r="K148" s="63">
        <f>K149+K150</f>
        <v>1224.52412652</v>
      </c>
      <c r="L148" s="60"/>
      <c r="M148" s="24"/>
      <c r="P148" s="25"/>
    </row>
    <row r="149" spans="3:19" ht="15" customHeight="1">
      <c r="C149" s="6"/>
      <c r="D149" s="54" t="s">
        <v>315</v>
      </c>
      <c r="E149" s="49" t="s">
        <v>316</v>
      </c>
      <c r="F149" s="22" t="s">
        <v>317</v>
      </c>
      <c r="G149" s="23">
        <f t="shared" si="1"/>
        <v>21829.560774000005</v>
      </c>
      <c r="H149" s="62"/>
      <c r="I149" s="62">
        <f>I127*172429.39*12/1000</f>
        <v>21829.560774000005</v>
      </c>
      <c r="J149" s="62"/>
      <c r="K149" s="62"/>
      <c r="L149" s="60"/>
      <c r="M149" s="24"/>
      <c r="P149" s="25" t="s">
        <v>318</v>
      </c>
    </row>
    <row r="150" spans="3:19" ht="15" customHeight="1">
      <c r="C150" s="6"/>
      <c r="D150" s="54" t="s">
        <v>319</v>
      </c>
      <c r="E150" s="49" t="s">
        <v>285</v>
      </c>
      <c r="F150" s="22" t="s">
        <v>320</v>
      </c>
      <c r="G150" s="23">
        <f t="shared" si="1"/>
        <v>9477.7247159400013</v>
      </c>
      <c r="H150" s="62"/>
      <c r="I150" s="62">
        <f>(I34+G48)*164.94/1000</f>
        <v>7692.7077491400005</v>
      </c>
      <c r="J150" s="62">
        <f>J34*164.94/1000</f>
        <v>560.49284028</v>
      </c>
      <c r="K150" s="62">
        <f>K34*164.94/1000</f>
        <v>1224.52412652</v>
      </c>
      <c r="L150" s="60"/>
      <c r="M150" s="24"/>
      <c r="P150" s="25" t="s">
        <v>321</v>
      </c>
    </row>
    <row r="151" spans="3:19">
      <c r="D151" s="11"/>
      <c r="E151" s="64"/>
      <c r="F151" s="64"/>
      <c r="G151" s="64"/>
      <c r="H151" s="64"/>
      <c r="I151" s="64"/>
      <c r="J151" s="64"/>
      <c r="K151" s="65"/>
      <c r="L151" s="65"/>
      <c r="M151" s="65"/>
      <c r="N151" s="65"/>
      <c r="O151" s="65"/>
      <c r="P151" s="65"/>
      <c r="Q151" s="65"/>
      <c r="R151" s="66"/>
      <c r="S151" s="66"/>
    </row>
    <row r="152" spans="3:19" ht="12.75">
      <c r="E152" s="24" t="s">
        <v>322</v>
      </c>
      <c r="F152" s="76" t="str">
        <f>IF([14]Титульный!G45="","",[14]Титульный!G45)</f>
        <v>экономист</v>
      </c>
      <c r="G152" s="76"/>
      <c r="H152" s="67"/>
      <c r="I152" s="76" t="str">
        <f>IF([14]Титульный!G44="","",[14]Титульный!G44)</f>
        <v>Гизикова А.Н.</v>
      </c>
      <c r="J152" s="76"/>
      <c r="K152" s="76"/>
      <c r="L152" s="67"/>
      <c r="M152" s="68"/>
      <c r="N152" s="68"/>
      <c r="O152" s="69"/>
      <c r="P152" s="65"/>
      <c r="Q152" s="65"/>
      <c r="R152" s="66"/>
      <c r="S152" s="66"/>
    </row>
    <row r="153" spans="3:19" ht="12.75">
      <c r="E153" s="70" t="s">
        <v>323</v>
      </c>
      <c r="F153" s="86" t="s">
        <v>324</v>
      </c>
      <c r="G153" s="86"/>
      <c r="H153" s="69"/>
      <c r="I153" s="86" t="s">
        <v>325</v>
      </c>
      <c r="J153" s="86"/>
      <c r="K153" s="86"/>
      <c r="L153" s="69"/>
      <c r="M153" s="86" t="s">
        <v>326</v>
      </c>
      <c r="N153" s="86"/>
      <c r="O153" s="24"/>
      <c r="P153" s="65"/>
      <c r="Q153" s="65"/>
      <c r="R153" s="66"/>
      <c r="S153" s="66"/>
    </row>
    <row r="154" spans="3:19" ht="12.75">
      <c r="E154" s="70" t="s">
        <v>327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65"/>
      <c r="Q154" s="65"/>
      <c r="R154" s="66"/>
      <c r="S154" s="66"/>
    </row>
    <row r="155" spans="3:19" ht="12.75">
      <c r="E155" s="70" t="s">
        <v>328</v>
      </c>
      <c r="F155" s="76" t="str">
        <f>IF([14]Титульный!G46="","",[14]Титульный!G46)</f>
        <v>(861) 258-50-71</v>
      </c>
      <c r="G155" s="76"/>
      <c r="H155" s="76"/>
      <c r="I155" s="24"/>
      <c r="J155" s="70" t="s">
        <v>329</v>
      </c>
      <c r="K155" s="74"/>
      <c r="L155" s="24"/>
      <c r="M155" s="24"/>
      <c r="N155" s="24"/>
      <c r="O155" s="24"/>
      <c r="P155" s="65"/>
      <c r="Q155" s="65"/>
      <c r="R155" s="66"/>
      <c r="S155" s="66"/>
    </row>
    <row r="156" spans="3:19" ht="12.75">
      <c r="E156" s="24" t="s">
        <v>330</v>
      </c>
      <c r="F156" s="87" t="s">
        <v>331</v>
      </c>
      <c r="G156" s="87"/>
      <c r="H156" s="87"/>
      <c r="I156" s="24"/>
      <c r="J156" s="72" t="s">
        <v>332</v>
      </c>
      <c r="K156" s="72"/>
      <c r="L156" s="24"/>
      <c r="M156" s="24"/>
      <c r="N156" s="24"/>
      <c r="O156" s="24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  <row r="184" spans="5:19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</row>
    <row r="185" spans="5:19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</row>
  </sheetData>
  <sheetProtection algorithmName="SHA-512" hashValue="kAasVgMzYxzSOWuPVnphc8lvSp3g4gvEojBsmTX+IlvjJAgYSMYaNndvesb+zObPMk87GPFPY29Ag+8Ky+Pf6w==" saltValue="KJMWwCl3xs60VEaQ4POLQA==" spinCount="100000" sheet="1" objects="1" scenarios="1" formatColumns="0" formatRows="0" autoFilter="0"/>
  <mergeCells count="18">
    <mergeCell ref="F153:G153"/>
    <mergeCell ref="I153:K153"/>
    <mergeCell ref="M153:N153"/>
    <mergeCell ref="F155:H155"/>
    <mergeCell ref="F156:H156"/>
    <mergeCell ref="D14:K14"/>
    <mergeCell ref="D53:K53"/>
    <mergeCell ref="D92:K92"/>
    <mergeCell ref="D96:K96"/>
    <mergeCell ref="D129:K129"/>
    <mergeCell ref="F152:G152"/>
    <mergeCell ref="I152:K152"/>
    <mergeCell ref="D8:E8"/>
    <mergeCell ref="D11:D12"/>
    <mergeCell ref="E11:E12"/>
    <mergeCell ref="F11:F12"/>
    <mergeCell ref="G11:G12"/>
    <mergeCell ref="H11:K11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19 E58 E65 E81"/>
    <dataValidation type="decimal" allowBlank="1" showErrorMessage="1" errorTitle="Ошибка" error="Допускается ввод только действительных чисел!" sqref="G24:K26 G93:K95 G15:K19 G54:K58 G83:K91 G97:K128 G63:K65 G44:K52 G28:K42 G130:K150 G60:K61 G21:K22 G67:K81">
      <formula1>-9.99999999999999E+23</formula1>
      <formula2>9.99999999999999E+23</formula2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scale="69" fitToHeight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/>
  <dimension ref="A1"/>
  <sheetViews>
    <sheetView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indexed="31"/>
  </sheetPr>
  <dimension ref="A1:CC185"/>
  <sheetViews>
    <sheetView topLeftCell="C7" workbookViewId="0">
      <selection activeCell="M17" sqref="M17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334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5428.0240000000003</v>
      </c>
      <c r="H15" s="23">
        <f>H16+H17+H21+H24</f>
        <v>0</v>
      </c>
      <c r="I15" s="23">
        <f>I16+I17+I21+I24</f>
        <v>5421.5540000000001</v>
      </c>
      <c r="J15" s="23">
        <f>J16+J17+J21+J24</f>
        <v>6.47</v>
      </c>
      <c r="K15" s="23">
        <f>K16+K17+K21+K24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6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6.47</v>
      </c>
      <c r="H17" s="23">
        <f>SUM(H18:H20)</f>
        <v>0</v>
      </c>
      <c r="I17" s="23">
        <f>SUM(I18:I20)</f>
        <v>0</v>
      </c>
      <c r="J17" s="23">
        <f>SUM(J18:J20)</f>
        <v>6.47</v>
      </c>
      <c r="K17" s="23">
        <f>SUM(K18:K20)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32" t="s">
        <v>30</v>
      </c>
      <c r="D19" s="33" t="s">
        <v>31</v>
      </c>
      <c r="E19" s="34" t="s">
        <v>32</v>
      </c>
      <c r="F19" s="35">
        <v>31</v>
      </c>
      <c r="G19" s="36">
        <f>SUM(H19:K19)</f>
        <v>6.47</v>
      </c>
      <c r="H19" s="37"/>
      <c r="I19" s="37"/>
      <c r="J19" s="37">
        <v>6.47</v>
      </c>
      <c r="K19" s="38"/>
      <c r="L19" s="19"/>
      <c r="M19" s="39"/>
      <c r="N19" s="40"/>
      <c r="O19" s="40"/>
    </row>
    <row r="20" spans="3:16" s="17" customFormat="1" ht="15" customHeight="1">
      <c r="C20" s="18"/>
      <c r="D20" s="41"/>
      <c r="E20" s="42" t="s">
        <v>33</v>
      </c>
      <c r="F20" s="43"/>
      <c r="G20" s="43"/>
      <c r="H20" s="43"/>
      <c r="I20" s="43"/>
      <c r="J20" s="43"/>
      <c r="K20" s="44"/>
      <c r="L20" s="19"/>
      <c r="M20" s="24"/>
      <c r="P20" s="45"/>
    </row>
    <row r="21" spans="3:16" s="17" customFormat="1" ht="15" customHeight="1">
      <c r="C21" s="18"/>
      <c r="D21" s="20" t="s">
        <v>34</v>
      </c>
      <c r="E21" s="26" t="s">
        <v>35</v>
      </c>
      <c r="F21" s="22" t="s">
        <v>36</v>
      </c>
      <c r="G21" s="23">
        <f t="shared" si="0"/>
        <v>0</v>
      </c>
      <c r="H21" s="23">
        <f>SUM(H22:H23)</f>
        <v>0</v>
      </c>
      <c r="I21" s="23">
        <f>SUM(I22:I23)</f>
        <v>0</v>
      </c>
      <c r="J21" s="23">
        <f>SUM(J22:J23)</f>
        <v>0</v>
      </c>
      <c r="K21" s="23">
        <f>SUM(K22:K23)</f>
        <v>0</v>
      </c>
      <c r="L21" s="19"/>
      <c r="M21" s="24"/>
      <c r="P21" s="45"/>
    </row>
    <row r="22" spans="3:16" s="17" customFormat="1" ht="12.75" hidden="1">
      <c r="C22" s="18"/>
      <c r="D22" s="28" t="s">
        <v>37</v>
      </c>
      <c r="E22" s="29"/>
      <c r="F22" s="30" t="s">
        <v>36</v>
      </c>
      <c r="G22" s="31"/>
      <c r="H22" s="31"/>
      <c r="I22" s="31"/>
      <c r="J22" s="31"/>
      <c r="K22" s="31"/>
      <c r="L22" s="19"/>
      <c r="M22" s="24"/>
      <c r="P22" s="25"/>
    </row>
    <row r="23" spans="3:16" s="17" customFormat="1" ht="15" customHeight="1">
      <c r="C23" s="18"/>
      <c r="D23" s="41"/>
      <c r="E23" s="42" t="s">
        <v>33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>
      <c r="C24" s="18"/>
      <c r="D24" s="20" t="s">
        <v>38</v>
      </c>
      <c r="E24" s="26" t="s">
        <v>39</v>
      </c>
      <c r="F24" s="22" t="s">
        <v>40</v>
      </c>
      <c r="G24" s="23">
        <f t="shared" si="0"/>
        <v>5421.5540000000001</v>
      </c>
      <c r="H24" s="23">
        <f>SUM(H25:H27)</f>
        <v>0</v>
      </c>
      <c r="I24" s="23">
        <f>SUM(I25:I27)</f>
        <v>5421.5540000000001</v>
      </c>
      <c r="J24" s="23">
        <f>SUM(J25:J27)</f>
        <v>0</v>
      </c>
      <c r="K24" s="23">
        <f>SUM(K25:K27)</f>
        <v>0</v>
      </c>
      <c r="L24" s="19"/>
      <c r="M24" s="24"/>
      <c r="P24" s="25">
        <v>40</v>
      </c>
    </row>
    <row r="25" spans="3:16" s="17" customFormat="1" ht="12.75" hidden="1">
      <c r="C25" s="18"/>
      <c r="D25" s="28" t="s">
        <v>41</v>
      </c>
      <c r="E25" s="29"/>
      <c r="F25" s="30" t="s">
        <v>40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>
      <c r="C26" s="32" t="s">
        <v>30</v>
      </c>
      <c r="D26" s="33" t="s">
        <v>42</v>
      </c>
      <c r="E26" s="34" t="s">
        <v>43</v>
      </c>
      <c r="F26" s="35">
        <v>431</v>
      </c>
      <c r="G26" s="36">
        <f>SUM(H26:K26)</f>
        <v>5421.5540000000001</v>
      </c>
      <c r="H26" s="37"/>
      <c r="I26" s="37">
        <v>5421.5540000000001</v>
      </c>
      <c r="J26" s="37"/>
      <c r="K26" s="38"/>
      <c r="L26" s="19"/>
      <c r="M26" s="39"/>
      <c r="N26" s="40"/>
      <c r="O26" s="40"/>
    </row>
    <row r="27" spans="3:16" s="17" customFormat="1" ht="15" customHeight="1">
      <c r="C27" s="18"/>
      <c r="D27" s="41"/>
      <c r="E27" s="42" t="s">
        <v>33</v>
      </c>
      <c r="F27" s="43"/>
      <c r="G27" s="43"/>
      <c r="H27" s="43"/>
      <c r="I27" s="43"/>
      <c r="J27" s="43"/>
      <c r="K27" s="44"/>
      <c r="L27" s="19"/>
      <c r="M27" s="24"/>
      <c r="P27" s="25"/>
    </row>
    <row r="28" spans="3:16" s="17" customFormat="1" ht="15" customHeight="1">
      <c r="C28" s="18"/>
      <c r="D28" s="20" t="s">
        <v>44</v>
      </c>
      <c r="E28" s="21" t="s">
        <v>45</v>
      </c>
      <c r="F28" s="22" t="s">
        <v>46</v>
      </c>
      <c r="G28" s="23">
        <f t="shared" si="0"/>
        <v>1534.0820000000008</v>
      </c>
      <c r="H28" s="23">
        <f>H30+H31+H32</f>
        <v>0</v>
      </c>
      <c r="I28" s="23">
        <f>I29+I31+I32</f>
        <v>0</v>
      </c>
      <c r="J28" s="23">
        <f>J29+J30+J32</f>
        <v>893.33200000000045</v>
      </c>
      <c r="K28" s="23">
        <f>K29+K30+K31</f>
        <v>640.75000000000045</v>
      </c>
      <c r="L28" s="19"/>
      <c r="M28" s="24"/>
      <c r="P28" s="25">
        <v>50</v>
      </c>
    </row>
    <row r="29" spans="3:16" s="17" customFormat="1" ht="15" customHeight="1">
      <c r="C29" s="18"/>
      <c r="D29" s="20" t="s">
        <v>47</v>
      </c>
      <c r="E29" s="26" t="s">
        <v>17</v>
      </c>
      <c r="F29" s="22" t="s">
        <v>48</v>
      </c>
      <c r="G29" s="23">
        <f t="shared" si="0"/>
        <v>0</v>
      </c>
      <c r="H29" s="46"/>
      <c r="I29" s="27"/>
      <c r="J29" s="27"/>
      <c r="K29" s="27"/>
      <c r="L29" s="19"/>
      <c r="M29" s="24"/>
      <c r="P29" s="25">
        <v>60</v>
      </c>
    </row>
    <row r="30" spans="3:16" s="17" customFormat="1" ht="15" customHeight="1">
      <c r="C30" s="18"/>
      <c r="D30" s="20" t="s">
        <v>49</v>
      </c>
      <c r="E30" s="26" t="s">
        <v>18</v>
      </c>
      <c r="F30" s="22" t="s">
        <v>50</v>
      </c>
      <c r="G30" s="23">
        <f t="shared" si="0"/>
        <v>893.33200000000045</v>
      </c>
      <c r="H30" s="27"/>
      <c r="I30" s="46"/>
      <c r="J30" s="27">
        <f>I15-I34-I48</f>
        <v>893.33200000000045</v>
      </c>
      <c r="K30" s="27"/>
      <c r="L30" s="19"/>
      <c r="M30" s="24"/>
      <c r="P30" s="25">
        <v>70</v>
      </c>
    </row>
    <row r="31" spans="3:16" s="17" customFormat="1" ht="15" customHeight="1">
      <c r="C31" s="18"/>
      <c r="D31" s="20" t="s">
        <v>51</v>
      </c>
      <c r="E31" s="26" t="s">
        <v>19</v>
      </c>
      <c r="F31" s="22" t="s">
        <v>52</v>
      </c>
      <c r="G31" s="23">
        <f t="shared" si="0"/>
        <v>640.75000000000045</v>
      </c>
      <c r="H31" s="27"/>
      <c r="I31" s="27"/>
      <c r="J31" s="46"/>
      <c r="K31" s="27">
        <f>J15+J28-J34-J48</f>
        <v>640.75000000000045</v>
      </c>
      <c r="L31" s="19"/>
      <c r="M31" s="24"/>
      <c r="P31" s="25">
        <v>80</v>
      </c>
    </row>
    <row r="32" spans="3:16" s="17" customFormat="1" ht="15" customHeight="1">
      <c r="C32" s="18"/>
      <c r="D32" s="20" t="s">
        <v>53</v>
      </c>
      <c r="E32" s="26" t="s">
        <v>54</v>
      </c>
      <c r="F32" s="22" t="s">
        <v>55</v>
      </c>
      <c r="G32" s="23">
        <f t="shared" si="0"/>
        <v>0</v>
      </c>
      <c r="H32" s="27"/>
      <c r="I32" s="27"/>
      <c r="J32" s="27"/>
      <c r="K32" s="46"/>
      <c r="L32" s="19"/>
      <c r="M32" s="24"/>
      <c r="P32" s="25">
        <v>90</v>
      </c>
    </row>
    <row r="33" spans="3:16" s="17" customFormat="1" ht="15" customHeight="1">
      <c r="C33" s="18"/>
      <c r="D33" s="20" t="s">
        <v>56</v>
      </c>
      <c r="E33" s="47" t="s">
        <v>57</v>
      </c>
      <c r="F33" s="22" t="s">
        <v>58</v>
      </c>
      <c r="G33" s="23">
        <f t="shared" si="0"/>
        <v>0</v>
      </c>
      <c r="H33" s="27"/>
      <c r="I33" s="27"/>
      <c r="J33" s="27"/>
      <c r="K33" s="27"/>
      <c r="L33" s="19"/>
      <c r="M33" s="24"/>
      <c r="P33" s="25"/>
    </row>
    <row r="34" spans="3:16" s="17" customFormat="1" ht="15" customHeight="1">
      <c r="C34" s="18"/>
      <c r="D34" s="20" t="s">
        <v>59</v>
      </c>
      <c r="E34" s="21" t="s">
        <v>60</v>
      </c>
      <c r="F34" s="48" t="s">
        <v>61</v>
      </c>
      <c r="G34" s="23">
        <f t="shared" si="0"/>
        <v>5349.6289999999999</v>
      </c>
      <c r="H34" s="23">
        <f>H35+H37+H40+H44</f>
        <v>0</v>
      </c>
      <c r="I34" s="23">
        <f>I35+I37+I40+I44</f>
        <v>4490.9089999999997</v>
      </c>
      <c r="J34" s="23">
        <f>J35+J37+J40+J44</f>
        <v>254.523</v>
      </c>
      <c r="K34" s="23">
        <f>K35+K37+K40+K44</f>
        <v>604.197</v>
      </c>
      <c r="L34" s="19"/>
      <c r="M34" s="24"/>
      <c r="P34" s="25">
        <v>100</v>
      </c>
    </row>
    <row r="35" spans="3:16" s="17" customFormat="1" ht="22.5">
      <c r="C35" s="18"/>
      <c r="D35" s="20" t="s">
        <v>62</v>
      </c>
      <c r="E35" s="26" t="s">
        <v>63</v>
      </c>
      <c r="F35" s="22" t="s">
        <v>64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65</v>
      </c>
      <c r="E36" s="49" t="s">
        <v>66</v>
      </c>
      <c r="F36" s="22" t="s">
        <v>67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>
      <c r="C37" s="18"/>
      <c r="D37" s="20" t="s">
        <v>68</v>
      </c>
      <c r="E37" s="26" t="s">
        <v>69</v>
      </c>
      <c r="F37" s="22" t="s">
        <v>70</v>
      </c>
      <c r="G37" s="23">
        <f t="shared" si="0"/>
        <v>1574.0450000000001</v>
      </c>
      <c r="H37" s="27"/>
      <c r="I37" s="27">
        <v>715.32500000000005</v>
      </c>
      <c r="J37" s="27">
        <v>254.523</v>
      </c>
      <c r="K37" s="27">
        <v>604.197</v>
      </c>
      <c r="L37" s="19"/>
      <c r="M37" s="24"/>
      <c r="P37" s="25"/>
    </row>
    <row r="38" spans="3:16" s="17" customFormat="1" ht="15" customHeight="1">
      <c r="C38" s="18"/>
      <c r="D38" s="20" t="s">
        <v>71</v>
      </c>
      <c r="E38" s="49" t="s">
        <v>72</v>
      </c>
      <c r="F38" s="22" t="s">
        <v>73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74</v>
      </c>
      <c r="E39" s="50" t="s">
        <v>66</v>
      </c>
      <c r="F39" s="22" t="s">
        <v>75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>
      <c r="C40" s="18"/>
      <c r="D40" s="20" t="s">
        <v>76</v>
      </c>
      <c r="E40" s="26" t="s">
        <v>77</v>
      </c>
      <c r="F40" s="22" t="s">
        <v>78</v>
      </c>
      <c r="G40" s="23">
        <f t="shared" si="0"/>
        <v>3775.5839999999998</v>
      </c>
      <c r="H40" s="23">
        <f>SUM(H41:H43)</f>
        <v>0</v>
      </c>
      <c r="I40" s="23">
        <f>SUM(I41:I43)</f>
        <v>3775.5839999999998</v>
      </c>
      <c r="J40" s="23">
        <f>SUM(J41:J43)</f>
        <v>0</v>
      </c>
      <c r="K40" s="23">
        <f>SUM(K41:K43)</f>
        <v>0</v>
      </c>
      <c r="L40" s="19"/>
      <c r="M40" s="24"/>
      <c r="P40" s="25"/>
    </row>
    <row r="41" spans="3:16" s="17" customFormat="1" ht="12.75" hidden="1">
      <c r="C41" s="18"/>
      <c r="D41" s="28" t="s">
        <v>79</v>
      </c>
      <c r="E41" s="29"/>
      <c r="F41" s="30" t="s">
        <v>78</v>
      </c>
      <c r="G41" s="31"/>
      <c r="H41" s="31"/>
      <c r="I41" s="31"/>
      <c r="J41" s="31"/>
      <c r="K41" s="31"/>
      <c r="L41" s="19"/>
      <c r="M41" s="24"/>
      <c r="P41" s="25"/>
    </row>
    <row r="42" spans="3:16" s="17" customFormat="1" ht="15" customHeight="1">
      <c r="C42" s="32" t="s">
        <v>30</v>
      </c>
      <c r="D42" s="33" t="s">
        <v>80</v>
      </c>
      <c r="E42" s="34" t="s">
        <v>81</v>
      </c>
      <c r="F42" s="35">
        <v>751</v>
      </c>
      <c r="G42" s="36">
        <f>SUM(H42:K42)</f>
        <v>3775.5839999999998</v>
      </c>
      <c r="H42" s="37"/>
      <c r="I42" s="37">
        <v>3775.5839999999998</v>
      </c>
      <c r="J42" s="37"/>
      <c r="K42" s="38"/>
      <c r="L42" s="19"/>
      <c r="M42" s="39"/>
      <c r="N42" s="40"/>
      <c r="O42" s="40"/>
    </row>
    <row r="43" spans="3:16" s="17" customFormat="1" ht="15" customHeight="1">
      <c r="C43" s="18"/>
      <c r="D43" s="51"/>
      <c r="E43" s="42" t="s">
        <v>33</v>
      </c>
      <c r="F43" s="43"/>
      <c r="G43" s="43"/>
      <c r="H43" s="43"/>
      <c r="I43" s="43"/>
      <c r="J43" s="43"/>
      <c r="K43" s="44"/>
      <c r="L43" s="19"/>
      <c r="M43" s="24"/>
      <c r="P43" s="25"/>
    </row>
    <row r="44" spans="3:16" s="17" customFormat="1" ht="15" customHeight="1">
      <c r="C44" s="18"/>
      <c r="D44" s="20" t="s">
        <v>82</v>
      </c>
      <c r="E44" s="52" t="s">
        <v>83</v>
      </c>
      <c r="F44" s="22" t="s">
        <v>84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120</v>
      </c>
    </row>
    <row r="45" spans="3:16" s="17" customFormat="1" ht="15" customHeight="1">
      <c r="C45" s="18"/>
      <c r="D45" s="20" t="s">
        <v>85</v>
      </c>
      <c r="E45" s="21" t="s">
        <v>86</v>
      </c>
      <c r="F45" s="22" t="s">
        <v>87</v>
      </c>
      <c r="G45" s="23">
        <f t="shared" si="0"/>
        <v>1534.0820000000008</v>
      </c>
      <c r="H45" s="27"/>
      <c r="I45" s="27">
        <f>I15-I34-I48</f>
        <v>893.33200000000045</v>
      </c>
      <c r="J45" s="27">
        <f>J19+J30-J37-J48</f>
        <v>640.75000000000045</v>
      </c>
      <c r="K45" s="27"/>
      <c r="L45" s="19"/>
      <c r="M45" s="24"/>
      <c r="P45" s="25">
        <v>150</v>
      </c>
    </row>
    <row r="46" spans="3:16" s="17" customFormat="1" ht="15" customHeight="1">
      <c r="C46" s="18"/>
      <c r="D46" s="20" t="s">
        <v>88</v>
      </c>
      <c r="E46" s="21" t="s">
        <v>89</v>
      </c>
      <c r="F46" s="22" t="s">
        <v>90</v>
      </c>
      <c r="G46" s="23">
        <f t="shared" si="0"/>
        <v>0</v>
      </c>
      <c r="H46" s="27"/>
      <c r="I46" s="27"/>
      <c r="J46" s="27"/>
      <c r="K46" s="27"/>
      <c r="L46" s="19"/>
      <c r="M46" s="24"/>
      <c r="P46" s="25">
        <v>160</v>
      </c>
    </row>
    <row r="47" spans="3:16" s="17" customFormat="1" ht="15" customHeight="1">
      <c r="C47" s="18"/>
      <c r="D47" s="20" t="s">
        <v>91</v>
      </c>
      <c r="E47" s="21" t="s">
        <v>92</v>
      </c>
      <c r="F47" s="22" t="s">
        <v>93</v>
      </c>
      <c r="G47" s="23">
        <f t="shared" si="0"/>
        <v>0</v>
      </c>
      <c r="H47" s="27"/>
      <c r="I47" s="27"/>
      <c r="J47" s="27"/>
      <c r="K47" s="27"/>
      <c r="L47" s="19"/>
      <c r="M47" s="24"/>
      <c r="P47" s="25">
        <v>180</v>
      </c>
    </row>
    <row r="48" spans="3:16" s="17" customFormat="1" ht="15" customHeight="1">
      <c r="C48" s="18"/>
      <c r="D48" s="20" t="s">
        <v>94</v>
      </c>
      <c r="E48" s="21" t="s">
        <v>95</v>
      </c>
      <c r="F48" s="22" t="s">
        <v>96</v>
      </c>
      <c r="G48" s="23">
        <f t="shared" si="0"/>
        <v>78.394999999999996</v>
      </c>
      <c r="H48" s="27"/>
      <c r="I48" s="27">
        <v>37.313000000000002</v>
      </c>
      <c r="J48" s="27">
        <v>4.5289999999999999</v>
      </c>
      <c r="K48" s="27">
        <v>36.552999999999997</v>
      </c>
      <c r="L48" s="19"/>
      <c r="M48" s="24"/>
      <c r="P48" s="25">
        <v>190</v>
      </c>
    </row>
    <row r="49" spans="3:16" s="17" customFormat="1" ht="15" customHeight="1">
      <c r="C49" s="18"/>
      <c r="D49" s="20" t="s">
        <v>97</v>
      </c>
      <c r="E49" s="26" t="s">
        <v>98</v>
      </c>
      <c r="F49" s="22" t="s">
        <v>99</v>
      </c>
      <c r="G49" s="23">
        <f t="shared" si="0"/>
        <v>0</v>
      </c>
      <c r="H49" s="27"/>
      <c r="I49" s="27"/>
      <c r="J49" s="27"/>
      <c r="K49" s="27"/>
      <c r="L49" s="19"/>
      <c r="M49" s="24"/>
      <c r="P49" s="25">
        <v>200</v>
      </c>
    </row>
    <row r="50" spans="3:16" s="17" customFormat="1" ht="15" customHeight="1">
      <c r="C50" s="18"/>
      <c r="D50" s="20" t="s">
        <v>100</v>
      </c>
      <c r="E50" s="21" t="s">
        <v>101</v>
      </c>
      <c r="F50" s="22" t="s">
        <v>102</v>
      </c>
      <c r="G50" s="23">
        <f t="shared" si="0"/>
        <v>259.99999999999949</v>
      </c>
      <c r="H50" s="27"/>
      <c r="I50" s="27">
        <v>44.036342013876499</v>
      </c>
      <c r="J50" s="27">
        <v>101.77760148957</v>
      </c>
      <c r="K50" s="27">
        <v>114.18605649655299</v>
      </c>
      <c r="L50" s="19"/>
      <c r="M50" s="24"/>
      <c r="P50" s="45"/>
    </row>
    <row r="51" spans="3:16" s="17" customFormat="1" ht="33.75">
      <c r="C51" s="18"/>
      <c r="D51" s="20" t="s">
        <v>103</v>
      </c>
      <c r="E51" s="47" t="s">
        <v>104</v>
      </c>
      <c r="F51" s="22" t="s">
        <v>105</v>
      </c>
      <c r="G51" s="23">
        <f t="shared" si="0"/>
        <v>-181.60499999999951</v>
      </c>
      <c r="H51" s="23">
        <f>H48-H50</f>
        <v>0</v>
      </c>
      <c r="I51" s="23">
        <f>I48-I50</f>
        <v>-6.723342013876497</v>
      </c>
      <c r="J51" s="23">
        <f>J48-J50</f>
        <v>-97.248601489570007</v>
      </c>
      <c r="K51" s="23">
        <f>K48-K50</f>
        <v>-77.633056496552996</v>
      </c>
      <c r="L51" s="19"/>
      <c r="M51" s="24"/>
      <c r="P51" s="45"/>
    </row>
    <row r="52" spans="3:16" s="17" customFormat="1" ht="15" customHeight="1">
      <c r="C52" s="18"/>
      <c r="D52" s="20" t="s">
        <v>106</v>
      </c>
      <c r="E52" s="21" t="s">
        <v>107</v>
      </c>
      <c r="F52" s="22" t="s">
        <v>108</v>
      </c>
      <c r="G52" s="23">
        <f t="shared" si="0"/>
        <v>0</v>
      </c>
      <c r="H52" s="23">
        <f>(H15+H28+H33)-(H34+H45+H46+H47+H48)</f>
        <v>0</v>
      </c>
      <c r="I52" s="23">
        <f>(I15+I28+I33)-(I34+I45+I46+I47+I48)</f>
        <v>0</v>
      </c>
      <c r="J52" s="23">
        <f>(J15+J28+J33)-(J34+J45+J46+J47+J48)</f>
        <v>0</v>
      </c>
      <c r="K52" s="23">
        <f>(K15+K28+K33)-(K34+K45+K46+K47+K48)</f>
        <v>0</v>
      </c>
      <c r="L52" s="19"/>
      <c r="M52" s="24"/>
      <c r="P52" s="25">
        <v>210</v>
      </c>
    </row>
    <row r="53" spans="3:16" s="17" customFormat="1" ht="15" customHeight="1">
      <c r="C53" s="18"/>
      <c r="D53" s="83" t="s">
        <v>109</v>
      </c>
      <c r="E53" s="84"/>
      <c r="F53" s="84"/>
      <c r="G53" s="84"/>
      <c r="H53" s="84"/>
      <c r="I53" s="84"/>
      <c r="J53" s="84"/>
      <c r="K53" s="85"/>
      <c r="L53" s="19"/>
      <c r="M53" s="24"/>
      <c r="P53" s="45"/>
    </row>
    <row r="54" spans="3:16" s="17" customFormat="1" ht="15" customHeight="1">
      <c r="C54" s="18"/>
      <c r="D54" s="20" t="s">
        <v>110</v>
      </c>
      <c r="E54" s="21" t="s">
        <v>23</v>
      </c>
      <c r="F54" s="22" t="s">
        <v>111</v>
      </c>
      <c r="G54" s="23">
        <f t="shared" si="0"/>
        <v>8.0774166666666662</v>
      </c>
      <c r="H54" s="23">
        <f>H55+H56+H60+H63</f>
        <v>0</v>
      </c>
      <c r="I54" s="23">
        <f>I55+I56+I60+I63</f>
        <v>8.0677886904761902</v>
      </c>
      <c r="J54" s="23">
        <f>J55+J56+J60+J63</f>
        <v>9.6279761904761903E-3</v>
      </c>
      <c r="K54" s="23">
        <f>K55+K56+K60+K63</f>
        <v>0</v>
      </c>
      <c r="L54" s="19"/>
      <c r="M54" s="24"/>
      <c r="P54" s="25">
        <v>300</v>
      </c>
    </row>
    <row r="55" spans="3:16" s="17" customFormat="1" ht="15" customHeight="1">
      <c r="C55" s="18"/>
      <c r="D55" s="20" t="s">
        <v>112</v>
      </c>
      <c r="E55" s="26" t="s">
        <v>25</v>
      </c>
      <c r="F55" s="22" t="s">
        <v>113</v>
      </c>
      <c r="G55" s="23">
        <f t="shared" si="0"/>
        <v>0</v>
      </c>
      <c r="H55" s="27"/>
      <c r="I55" s="27"/>
      <c r="J55" s="27"/>
      <c r="K55" s="27"/>
      <c r="L55" s="19"/>
      <c r="M55" s="24"/>
      <c r="P55" s="25">
        <v>310</v>
      </c>
    </row>
    <row r="56" spans="3:16" s="17" customFormat="1" ht="15" customHeight="1">
      <c r="C56" s="18"/>
      <c r="D56" s="20" t="s">
        <v>114</v>
      </c>
      <c r="E56" s="26" t="s">
        <v>27</v>
      </c>
      <c r="F56" s="22" t="s">
        <v>115</v>
      </c>
      <c r="G56" s="23">
        <f t="shared" si="0"/>
        <v>9.6279761904761903E-3</v>
      </c>
      <c r="H56" s="23">
        <f>SUM(H57:H59)</f>
        <v>0</v>
      </c>
      <c r="I56" s="23">
        <f>SUM(I57:I59)</f>
        <v>0</v>
      </c>
      <c r="J56" s="23">
        <f>SUM(J57:J59)</f>
        <v>9.6279761904761903E-3</v>
      </c>
      <c r="K56" s="23">
        <f>SUM(K57:K59)</f>
        <v>0</v>
      </c>
      <c r="L56" s="19"/>
      <c r="M56" s="24"/>
      <c r="P56" s="25">
        <v>320</v>
      </c>
    </row>
    <row r="57" spans="3:16" s="17" customFormat="1" ht="12.75" hidden="1">
      <c r="C57" s="18"/>
      <c r="D57" s="28" t="s">
        <v>116</v>
      </c>
      <c r="E57" s="29"/>
      <c r="F57" s="30" t="s">
        <v>115</v>
      </c>
      <c r="G57" s="31"/>
      <c r="H57" s="31"/>
      <c r="I57" s="31"/>
      <c r="J57" s="31"/>
      <c r="K57" s="31"/>
      <c r="L57" s="19"/>
      <c r="M57" s="24"/>
      <c r="P57" s="25"/>
    </row>
    <row r="58" spans="3:16" s="17" customFormat="1" ht="15" customHeight="1">
      <c r="C58" s="32" t="s">
        <v>30</v>
      </c>
      <c r="D58" s="33" t="s">
        <v>117</v>
      </c>
      <c r="E58" s="34" t="s">
        <v>32</v>
      </c>
      <c r="F58" s="35">
        <v>1061</v>
      </c>
      <c r="G58" s="36">
        <f>SUM(H58:K58)</f>
        <v>9.6279761904761903E-3</v>
      </c>
      <c r="H58" s="37"/>
      <c r="I58" s="37"/>
      <c r="J58" s="37">
        <f>J19/672</f>
        <v>9.6279761904761903E-3</v>
      </c>
      <c r="K58" s="38"/>
      <c r="L58" s="19"/>
      <c r="M58" s="39"/>
      <c r="N58" s="40"/>
      <c r="O58" s="40"/>
    </row>
    <row r="59" spans="3:16" s="17" customFormat="1" ht="15" customHeight="1">
      <c r="C59" s="18"/>
      <c r="D59" s="41"/>
      <c r="E59" s="42" t="s">
        <v>33</v>
      </c>
      <c r="F59" s="43"/>
      <c r="G59" s="43"/>
      <c r="H59" s="43"/>
      <c r="I59" s="43"/>
      <c r="J59" s="43"/>
      <c r="K59" s="44"/>
      <c r="L59" s="19"/>
      <c r="M59" s="24"/>
      <c r="P59" s="25"/>
    </row>
    <row r="60" spans="3:16" s="17" customFormat="1" ht="15" customHeight="1">
      <c r="C60" s="18"/>
      <c r="D60" s="20" t="s">
        <v>118</v>
      </c>
      <c r="E60" s="26" t="s">
        <v>35</v>
      </c>
      <c r="F60" s="22" t="s">
        <v>119</v>
      </c>
      <c r="G60" s="23">
        <f t="shared" si="0"/>
        <v>0</v>
      </c>
      <c r="H60" s="23">
        <f>SUM(H61:H62)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19"/>
      <c r="M60" s="24"/>
      <c r="P60" s="25"/>
    </row>
    <row r="61" spans="3:16" s="17" customFormat="1" ht="12.75" hidden="1" customHeight="1">
      <c r="C61" s="18"/>
      <c r="D61" s="28" t="s">
        <v>120</v>
      </c>
      <c r="E61" s="29"/>
      <c r="F61" s="30" t="s">
        <v>119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customHeight="1">
      <c r="C62" s="18"/>
      <c r="D62" s="41"/>
      <c r="E62" s="42" t="s">
        <v>33</v>
      </c>
      <c r="F62" s="43"/>
      <c r="G62" s="43"/>
      <c r="H62" s="43"/>
      <c r="I62" s="43"/>
      <c r="J62" s="43"/>
      <c r="K62" s="44"/>
      <c r="L62" s="19"/>
      <c r="M62" s="24"/>
      <c r="P62" s="25"/>
    </row>
    <row r="63" spans="3:16" s="17" customFormat="1" ht="15" customHeight="1">
      <c r="C63" s="18"/>
      <c r="D63" s="20" t="s">
        <v>121</v>
      </c>
      <c r="E63" s="26" t="s">
        <v>39</v>
      </c>
      <c r="F63" s="22" t="s">
        <v>122</v>
      </c>
      <c r="G63" s="23">
        <f t="shared" si="0"/>
        <v>8.0677886904761902</v>
      </c>
      <c r="H63" s="23">
        <f>SUM(H64:H66)</f>
        <v>0</v>
      </c>
      <c r="I63" s="23">
        <f>SUM(I64:I66)</f>
        <v>8.0677886904761902</v>
      </c>
      <c r="J63" s="23">
        <f>SUM(J64:J66)</f>
        <v>0</v>
      </c>
      <c r="K63" s="23">
        <f>SUM(K64:K66)</f>
        <v>0</v>
      </c>
      <c r="L63" s="19"/>
      <c r="M63" s="24"/>
      <c r="P63" s="25">
        <v>330</v>
      </c>
    </row>
    <row r="64" spans="3:16" s="17" customFormat="1" ht="12.75" hidden="1" customHeight="1">
      <c r="C64" s="18"/>
      <c r="D64" s="28" t="s">
        <v>123</v>
      </c>
      <c r="E64" s="29"/>
      <c r="F64" s="30" t="s">
        <v>122</v>
      </c>
      <c r="G64" s="31"/>
      <c r="H64" s="31"/>
      <c r="I64" s="31"/>
      <c r="J64" s="31"/>
      <c r="K64" s="31"/>
      <c r="L64" s="19"/>
      <c r="M64" s="24"/>
      <c r="P64" s="25"/>
    </row>
    <row r="65" spans="3:16" s="17" customFormat="1" ht="15" customHeight="1">
      <c r="C65" s="32" t="s">
        <v>30</v>
      </c>
      <c r="D65" s="33" t="s">
        <v>124</v>
      </c>
      <c r="E65" s="34" t="s">
        <v>43</v>
      </c>
      <c r="F65" s="35">
        <v>1461</v>
      </c>
      <c r="G65" s="36">
        <f>SUM(H65:K65)</f>
        <v>8.0677886904761902</v>
      </c>
      <c r="H65" s="37"/>
      <c r="I65" s="37">
        <f>I26/672</f>
        <v>8.0677886904761902</v>
      </c>
      <c r="J65" s="37"/>
      <c r="K65" s="38"/>
      <c r="L65" s="19"/>
      <c r="M65" s="39"/>
      <c r="N65" s="40"/>
      <c r="O65" s="40"/>
    </row>
    <row r="66" spans="3:16" s="17" customFormat="1" ht="15" customHeight="1">
      <c r="C66" s="18"/>
      <c r="D66" s="41"/>
      <c r="E66" s="42" t="s">
        <v>33</v>
      </c>
      <c r="F66" s="43"/>
      <c r="G66" s="43"/>
      <c r="H66" s="43"/>
      <c r="I66" s="43"/>
      <c r="J66" s="43"/>
      <c r="K66" s="44"/>
      <c r="L66" s="19"/>
      <c r="M66" s="24"/>
      <c r="P66" s="25"/>
    </row>
    <row r="67" spans="3:16" s="17" customFormat="1" ht="15" customHeight="1">
      <c r="C67" s="18"/>
      <c r="D67" s="20" t="s">
        <v>125</v>
      </c>
      <c r="E67" s="21" t="s">
        <v>45</v>
      </c>
      <c r="F67" s="22" t="s">
        <v>126</v>
      </c>
      <c r="G67" s="23">
        <f t="shared" si="0"/>
        <v>2.2828601190476205</v>
      </c>
      <c r="H67" s="23">
        <f>H69+H70+H71</f>
        <v>0</v>
      </c>
      <c r="I67" s="23">
        <f>I68+I70+I71</f>
        <v>0</v>
      </c>
      <c r="J67" s="23">
        <f>J68+J69+J71</f>
        <v>1.3293630952380959</v>
      </c>
      <c r="K67" s="23">
        <f>K68+K69+K70</f>
        <v>0.9534970238095245</v>
      </c>
      <c r="L67" s="19"/>
      <c r="M67" s="24"/>
      <c r="P67" s="25">
        <v>340</v>
      </c>
    </row>
    <row r="68" spans="3:16" s="17" customFormat="1" ht="15" customHeight="1">
      <c r="C68" s="18"/>
      <c r="D68" s="20" t="s">
        <v>127</v>
      </c>
      <c r="E68" s="26" t="s">
        <v>17</v>
      </c>
      <c r="F68" s="22" t="s">
        <v>128</v>
      </c>
      <c r="G68" s="23">
        <f t="shared" si="0"/>
        <v>0</v>
      </c>
      <c r="H68" s="46"/>
      <c r="I68" s="27"/>
      <c r="J68" s="27"/>
      <c r="K68" s="27"/>
      <c r="L68" s="19"/>
      <c r="M68" s="24"/>
      <c r="P68" s="25">
        <v>350</v>
      </c>
    </row>
    <row r="69" spans="3:16" s="17" customFormat="1" ht="15" customHeight="1">
      <c r="C69" s="18"/>
      <c r="D69" s="20" t="s">
        <v>129</v>
      </c>
      <c r="E69" s="26" t="s">
        <v>18</v>
      </c>
      <c r="F69" s="22" t="s">
        <v>130</v>
      </c>
      <c r="G69" s="23">
        <f t="shared" si="0"/>
        <v>1.3293630952380959</v>
      </c>
      <c r="H69" s="27"/>
      <c r="I69" s="53"/>
      <c r="J69" s="27">
        <f>J30/672</f>
        <v>1.3293630952380959</v>
      </c>
      <c r="K69" s="27"/>
      <c r="L69" s="19"/>
      <c r="M69" s="24"/>
      <c r="P69" s="25">
        <v>360</v>
      </c>
    </row>
    <row r="70" spans="3:16" s="17" customFormat="1" ht="15" customHeight="1">
      <c r="C70" s="18"/>
      <c r="D70" s="20" t="s">
        <v>131</v>
      </c>
      <c r="E70" s="26" t="s">
        <v>19</v>
      </c>
      <c r="F70" s="22" t="s">
        <v>132</v>
      </c>
      <c r="G70" s="23">
        <f t="shared" si="0"/>
        <v>0.9534970238095245</v>
      </c>
      <c r="H70" s="27"/>
      <c r="I70" s="27"/>
      <c r="J70" s="46"/>
      <c r="K70" s="27">
        <f>K31/672</f>
        <v>0.9534970238095245</v>
      </c>
      <c r="L70" s="19"/>
      <c r="M70" s="24"/>
      <c r="P70" s="25">
        <v>370</v>
      </c>
    </row>
    <row r="71" spans="3:16" s="17" customFormat="1" ht="15" customHeight="1">
      <c r="C71" s="18"/>
      <c r="D71" s="20" t="s">
        <v>133</v>
      </c>
      <c r="E71" s="26" t="s">
        <v>54</v>
      </c>
      <c r="F71" s="22" t="s">
        <v>134</v>
      </c>
      <c r="G71" s="23">
        <f t="shared" si="0"/>
        <v>0</v>
      </c>
      <c r="H71" s="27"/>
      <c r="I71" s="27"/>
      <c r="J71" s="27"/>
      <c r="K71" s="46"/>
      <c r="L71" s="19"/>
      <c r="M71" s="24"/>
      <c r="P71" s="25">
        <v>380</v>
      </c>
    </row>
    <row r="72" spans="3:16" s="17" customFormat="1" ht="15" customHeight="1">
      <c r="C72" s="18"/>
      <c r="D72" s="20" t="s">
        <v>135</v>
      </c>
      <c r="E72" s="47" t="s">
        <v>57</v>
      </c>
      <c r="F72" s="22" t="s">
        <v>136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137</v>
      </c>
      <c r="E73" s="21" t="s">
        <v>60</v>
      </c>
      <c r="F73" s="48" t="s">
        <v>138</v>
      </c>
      <c r="G73" s="23">
        <f t="shared" si="0"/>
        <v>7.9607574404761907</v>
      </c>
      <c r="H73" s="23">
        <f>H74+H76+H79+H83</f>
        <v>0</v>
      </c>
      <c r="I73" s="23">
        <f>I74+I76+I79+I83</f>
        <v>6.6829002976190477</v>
      </c>
      <c r="J73" s="23">
        <f>J74+J76+J79+J83</f>
        <v>0.3787544642857143</v>
      </c>
      <c r="K73" s="23">
        <f>K74+K76+K79+K83</f>
        <v>0.89910267857142856</v>
      </c>
      <c r="L73" s="19"/>
      <c r="M73" s="24"/>
      <c r="P73" s="25">
        <v>390</v>
      </c>
    </row>
    <row r="74" spans="3:16" s="17" customFormat="1" ht="22.5">
      <c r="C74" s="18"/>
      <c r="D74" s="20" t="s">
        <v>139</v>
      </c>
      <c r="E74" s="26" t="s">
        <v>63</v>
      </c>
      <c r="F74" s="22" t="s">
        <v>140</v>
      </c>
      <c r="G74" s="23">
        <f t="shared" si="0"/>
        <v>0</v>
      </c>
      <c r="H74" s="27"/>
      <c r="I74" s="27"/>
      <c r="J74" s="27"/>
      <c r="K74" s="27"/>
      <c r="L74" s="19"/>
      <c r="M74" s="24"/>
      <c r="P74" s="25"/>
    </row>
    <row r="75" spans="3:16" s="17" customFormat="1" ht="15" customHeight="1">
      <c r="C75" s="18"/>
      <c r="D75" s="20" t="s">
        <v>141</v>
      </c>
      <c r="E75" s="49" t="s">
        <v>66</v>
      </c>
      <c r="F75" s="22" t="s">
        <v>142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143</v>
      </c>
      <c r="E76" s="26" t="s">
        <v>69</v>
      </c>
      <c r="F76" s="22" t="s">
        <v>144</v>
      </c>
      <c r="G76" s="23">
        <f t="shared" si="0"/>
        <v>2.3423288690476194</v>
      </c>
      <c r="H76" s="27"/>
      <c r="I76" s="27">
        <f>I37/672</f>
        <v>1.0644717261904764</v>
      </c>
      <c r="J76" s="27">
        <f>J37/672</f>
        <v>0.3787544642857143</v>
      </c>
      <c r="K76" s="27">
        <f>K37/672</f>
        <v>0.89910267857142856</v>
      </c>
      <c r="L76" s="19"/>
      <c r="M76" s="24"/>
      <c r="P76" s="25"/>
    </row>
    <row r="77" spans="3:16" s="17" customFormat="1" ht="15" customHeight="1">
      <c r="C77" s="18"/>
      <c r="D77" s="20" t="s">
        <v>145</v>
      </c>
      <c r="E77" s="49" t="s">
        <v>72</v>
      </c>
      <c r="F77" s="22" t="s">
        <v>146</v>
      </c>
      <c r="G77" s="23">
        <f t="shared" si="0"/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>
      <c r="C78" s="18"/>
      <c r="D78" s="20" t="s">
        <v>147</v>
      </c>
      <c r="E78" s="50" t="s">
        <v>66</v>
      </c>
      <c r="F78" s="22" t="s">
        <v>148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>
      <c r="C79" s="18"/>
      <c r="D79" s="20" t="s">
        <v>149</v>
      </c>
      <c r="E79" s="26" t="s">
        <v>77</v>
      </c>
      <c r="F79" s="22" t="s">
        <v>150</v>
      </c>
      <c r="G79" s="23">
        <f t="shared" si="0"/>
        <v>5.6184285714285709</v>
      </c>
      <c r="H79" s="23">
        <f>SUM(H80:H82)</f>
        <v>0</v>
      </c>
      <c r="I79" s="23">
        <f>SUM(I80:I82)</f>
        <v>5.6184285714285709</v>
      </c>
      <c r="J79" s="23">
        <f>SUM(J80:J82)</f>
        <v>0</v>
      </c>
      <c r="K79" s="23">
        <f>SUM(K80:K82)</f>
        <v>0</v>
      </c>
      <c r="L79" s="19"/>
      <c r="M79" s="24"/>
      <c r="P79" s="25"/>
    </row>
    <row r="80" spans="3:16" s="17" customFormat="1" ht="12.75" hidden="1" customHeight="1">
      <c r="C80" s="18"/>
      <c r="D80" s="28" t="s">
        <v>151</v>
      </c>
      <c r="E80" s="29"/>
      <c r="F80" s="30" t="s">
        <v>150</v>
      </c>
      <c r="G80" s="31"/>
      <c r="H80" s="31"/>
      <c r="I80" s="31"/>
      <c r="J80" s="31"/>
      <c r="K80" s="31"/>
      <c r="L80" s="19"/>
      <c r="M80" s="24"/>
      <c r="P80" s="25"/>
    </row>
    <row r="81" spans="3:16" s="17" customFormat="1" ht="15" customHeight="1">
      <c r="C81" s="32" t="s">
        <v>30</v>
      </c>
      <c r="D81" s="33" t="s">
        <v>152</v>
      </c>
      <c r="E81" s="34" t="s">
        <v>81</v>
      </c>
      <c r="F81" s="35">
        <v>1781</v>
      </c>
      <c r="G81" s="36">
        <f>SUM(H81:K81)</f>
        <v>5.6184285714285709</v>
      </c>
      <c r="H81" s="37"/>
      <c r="I81" s="37">
        <f>I42/672</f>
        <v>5.6184285714285709</v>
      </c>
      <c r="J81" s="37"/>
      <c r="K81" s="38"/>
      <c r="L81" s="19"/>
      <c r="M81" s="39"/>
      <c r="N81" s="40"/>
      <c r="O81" s="40"/>
    </row>
    <row r="82" spans="3:16" s="17" customFormat="1" ht="15" customHeight="1">
      <c r="C82" s="18"/>
      <c r="D82" s="41"/>
      <c r="E82" s="42" t="s">
        <v>33</v>
      </c>
      <c r="F82" s="43"/>
      <c r="G82" s="43"/>
      <c r="H82" s="43"/>
      <c r="I82" s="43"/>
      <c r="J82" s="43"/>
      <c r="K82" s="44"/>
      <c r="L82" s="19"/>
      <c r="M82" s="24"/>
      <c r="P82" s="25"/>
    </row>
    <row r="83" spans="3:16" s="17" customFormat="1" ht="15" customHeight="1">
      <c r="C83" s="18"/>
      <c r="D83" s="20" t="s">
        <v>153</v>
      </c>
      <c r="E83" s="52" t="s">
        <v>83</v>
      </c>
      <c r="F83" s="22" t="s">
        <v>154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>
        <v>410</v>
      </c>
    </row>
    <row r="84" spans="3:16" s="17" customFormat="1" ht="15" customHeight="1">
      <c r="C84" s="18"/>
      <c r="D84" s="20" t="s">
        <v>155</v>
      </c>
      <c r="E84" s="21" t="s">
        <v>86</v>
      </c>
      <c r="F84" s="22" t="s">
        <v>156</v>
      </c>
      <c r="G84" s="23">
        <f t="shared" si="0"/>
        <v>2.2828601190476205</v>
      </c>
      <c r="H84" s="27"/>
      <c r="I84" s="27">
        <f>I45/672</f>
        <v>1.3293630952380959</v>
      </c>
      <c r="J84" s="27">
        <f>J45/672</f>
        <v>0.9534970238095245</v>
      </c>
      <c r="K84" s="27"/>
      <c r="L84" s="19"/>
      <c r="M84" s="24"/>
      <c r="P84" s="25">
        <v>440</v>
      </c>
    </row>
    <row r="85" spans="3:16" s="17" customFormat="1" ht="15" customHeight="1">
      <c r="C85" s="18"/>
      <c r="D85" s="20" t="s">
        <v>157</v>
      </c>
      <c r="E85" s="21" t="s">
        <v>89</v>
      </c>
      <c r="F85" s="22" t="s">
        <v>158</v>
      </c>
      <c r="G85" s="23">
        <f t="shared" si="0"/>
        <v>0</v>
      </c>
      <c r="H85" s="27"/>
      <c r="I85" s="27"/>
      <c r="J85" s="27"/>
      <c r="K85" s="27"/>
      <c r="L85" s="19"/>
      <c r="M85" s="24"/>
      <c r="P85" s="25">
        <v>450</v>
      </c>
    </row>
    <row r="86" spans="3:16" s="17" customFormat="1" ht="15" customHeight="1">
      <c r="C86" s="18"/>
      <c r="D86" s="20" t="s">
        <v>159</v>
      </c>
      <c r="E86" s="21" t="s">
        <v>92</v>
      </c>
      <c r="F86" s="22" t="s">
        <v>160</v>
      </c>
      <c r="G86" s="23">
        <f t="shared" si="0"/>
        <v>0</v>
      </c>
      <c r="H86" s="27"/>
      <c r="I86" s="27"/>
      <c r="J86" s="27"/>
      <c r="K86" s="27"/>
      <c r="L86" s="19"/>
      <c r="M86" s="24"/>
      <c r="P86" s="25">
        <v>470</v>
      </c>
    </row>
    <row r="87" spans="3:16" s="17" customFormat="1" ht="15" customHeight="1">
      <c r="C87" s="18"/>
      <c r="D87" s="20" t="s">
        <v>161</v>
      </c>
      <c r="E87" s="21" t="s">
        <v>95</v>
      </c>
      <c r="F87" s="22" t="s">
        <v>162</v>
      </c>
      <c r="G87" s="23">
        <f t="shared" si="0"/>
        <v>0.1166592261904762</v>
      </c>
      <c r="H87" s="27"/>
      <c r="I87" s="27">
        <f>I48/672</f>
        <v>5.552529761904762E-2</v>
      </c>
      <c r="J87" s="27">
        <f>J48/672</f>
        <v>6.7395833333333335E-3</v>
      </c>
      <c r="K87" s="27">
        <f>K48/672</f>
        <v>5.4394345238095235E-2</v>
      </c>
      <c r="L87" s="19"/>
      <c r="M87" s="24"/>
      <c r="P87" s="25">
        <v>480</v>
      </c>
    </row>
    <row r="88" spans="3:16" s="17" customFormat="1" ht="15" customHeight="1">
      <c r="C88" s="18"/>
      <c r="D88" s="20" t="s">
        <v>163</v>
      </c>
      <c r="E88" s="26" t="s">
        <v>164</v>
      </c>
      <c r="F88" s="22" t="s">
        <v>165</v>
      </c>
      <c r="G88" s="23">
        <f t="shared" si="0"/>
        <v>0</v>
      </c>
      <c r="H88" s="27"/>
      <c r="I88" s="27"/>
      <c r="J88" s="27"/>
      <c r="K88" s="27"/>
      <c r="L88" s="19"/>
      <c r="M88" s="24"/>
      <c r="P88" s="25">
        <v>490</v>
      </c>
    </row>
    <row r="89" spans="3:16" s="17" customFormat="1" ht="15" customHeight="1">
      <c r="C89" s="18"/>
      <c r="D89" s="20" t="s">
        <v>166</v>
      </c>
      <c r="E89" s="21" t="s">
        <v>101</v>
      </c>
      <c r="F89" s="22" t="s">
        <v>167</v>
      </c>
      <c r="G89" s="23">
        <f t="shared" si="0"/>
        <v>0.38690476190476114</v>
      </c>
      <c r="H89" s="27"/>
      <c r="I89" s="27">
        <f>I50/672</f>
        <v>6.5530270853982886E-2</v>
      </c>
      <c r="J89" s="27">
        <f>J50/672</f>
        <v>0.15145476412138392</v>
      </c>
      <c r="K89" s="27">
        <f>K50/672</f>
        <v>0.16991972692939433</v>
      </c>
      <c r="L89" s="19"/>
      <c r="M89" s="24"/>
      <c r="P89" s="25"/>
    </row>
    <row r="90" spans="3:16" s="17" customFormat="1" ht="33.75">
      <c r="C90" s="18"/>
      <c r="D90" s="20" t="s">
        <v>168</v>
      </c>
      <c r="E90" s="47" t="s">
        <v>104</v>
      </c>
      <c r="F90" s="22" t="s">
        <v>169</v>
      </c>
      <c r="G90" s="23">
        <f t="shared" si="0"/>
        <v>-0.27024553571428495</v>
      </c>
      <c r="H90" s="23">
        <f>H87-H89</f>
        <v>0</v>
      </c>
      <c r="I90" s="23">
        <f>I87-I89</f>
        <v>-1.0004973234935266E-2</v>
      </c>
      <c r="J90" s="23">
        <f>J87-J89</f>
        <v>-0.1447151807880506</v>
      </c>
      <c r="K90" s="23">
        <f>K87-K89</f>
        <v>-0.1155253816912991</v>
      </c>
      <c r="L90" s="19"/>
      <c r="M90" s="24"/>
      <c r="P90" s="25"/>
    </row>
    <row r="91" spans="3:16" s="17" customFormat="1" ht="15" customHeight="1">
      <c r="C91" s="18"/>
      <c r="D91" s="20" t="s">
        <v>170</v>
      </c>
      <c r="E91" s="21" t="s">
        <v>107</v>
      </c>
      <c r="F91" s="22" t="s">
        <v>171</v>
      </c>
      <c r="G91" s="23">
        <f t="shared" si="0"/>
        <v>0</v>
      </c>
      <c r="H91" s="23">
        <f>(H54+H67+H72)-(H73+H84+H85+H86+H87)</f>
        <v>0</v>
      </c>
      <c r="I91" s="23">
        <f>(I54+I67+I72)-(I73+I84+I85+I86+I87)</f>
        <v>0</v>
      </c>
      <c r="J91" s="23">
        <f>(J54+J67+J72)-(J73+J84+J85+J86+J87)</f>
        <v>0</v>
      </c>
      <c r="K91" s="23">
        <f>(K54+K67+K72)-(K73+K84+K85+K86+K87)</f>
        <v>0</v>
      </c>
      <c r="L91" s="19"/>
      <c r="M91" s="24"/>
      <c r="P91" s="25">
        <v>500</v>
      </c>
    </row>
    <row r="92" spans="3:16" s="17" customFormat="1" ht="15" customHeight="1">
      <c r="C92" s="18"/>
      <c r="D92" s="83" t="s">
        <v>172</v>
      </c>
      <c r="E92" s="84"/>
      <c r="F92" s="84"/>
      <c r="G92" s="84"/>
      <c r="H92" s="84"/>
      <c r="I92" s="84"/>
      <c r="J92" s="84"/>
      <c r="K92" s="85"/>
      <c r="L92" s="19"/>
      <c r="M92" s="24"/>
      <c r="P92" s="45"/>
    </row>
    <row r="93" spans="3:16" s="17" customFormat="1" ht="15" customHeight="1">
      <c r="C93" s="18"/>
      <c r="D93" s="20" t="s">
        <v>173</v>
      </c>
      <c r="E93" s="21" t="s">
        <v>174</v>
      </c>
      <c r="F93" s="22" t="s">
        <v>175</v>
      </c>
      <c r="G93" s="23">
        <f t="shared" si="0"/>
        <v>0</v>
      </c>
      <c r="H93" s="27"/>
      <c r="I93" s="27"/>
      <c r="J93" s="27"/>
      <c r="K93" s="27"/>
      <c r="L93" s="19"/>
      <c r="M93" s="24"/>
      <c r="P93" s="25">
        <v>600</v>
      </c>
    </row>
    <row r="94" spans="3:16" s="17" customFormat="1" ht="15" customHeight="1">
      <c r="C94" s="18"/>
      <c r="D94" s="20" t="s">
        <v>176</v>
      </c>
      <c r="E94" s="21" t="s">
        <v>177</v>
      </c>
      <c r="F94" s="22" t="s">
        <v>178</v>
      </c>
      <c r="G94" s="23">
        <f t="shared" si="0"/>
        <v>10.55</v>
      </c>
      <c r="H94" s="27"/>
      <c r="I94" s="27">
        <v>10.55</v>
      </c>
      <c r="J94" s="27"/>
      <c r="K94" s="27"/>
      <c r="L94" s="19"/>
      <c r="M94" s="24"/>
      <c r="P94" s="25">
        <v>610</v>
      </c>
    </row>
    <row r="95" spans="3:16" s="17" customFormat="1" ht="15" customHeight="1">
      <c r="C95" s="18"/>
      <c r="D95" s="20" t="s">
        <v>179</v>
      </c>
      <c r="E95" s="21" t="s">
        <v>180</v>
      </c>
      <c r="F95" s="22" t="s">
        <v>181</v>
      </c>
      <c r="G95" s="23">
        <f t="shared" si="0"/>
        <v>0</v>
      </c>
      <c r="H95" s="27"/>
      <c r="I95" s="27"/>
      <c r="J95" s="27"/>
      <c r="K95" s="27"/>
      <c r="L95" s="19"/>
      <c r="M95" s="24"/>
      <c r="P95" s="25">
        <v>620</v>
      </c>
    </row>
    <row r="96" spans="3:16" s="17" customFormat="1" ht="15" customHeight="1">
      <c r="C96" s="18"/>
      <c r="D96" s="83" t="s">
        <v>182</v>
      </c>
      <c r="E96" s="84"/>
      <c r="F96" s="84"/>
      <c r="G96" s="84"/>
      <c r="H96" s="84"/>
      <c r="I96" s="84"/>
      <c r="J96" s="84"/>
      <c r="K96" s="85"/>
      <c r="L96" s="19"/>
      <c r="M96" s="24"/>
      <c r="P96" s="45"/>
    </row>
    <row r="97" spans="3:16" s="17" customFormat="1" ht="15" customHeight="1">
      <c r="C97" s="18"/>
      <c r="D97" s="20" t="s">
        <v>183</v>
      </c>
      <c r="E97" s="21" t="s">
        <v>184</v>
      </c>
      <c r="F97" s="22" t="s">
        <v>185</v>
      </c>
      <c r="G97" s="23">
        <f t="shared" si="0"/>
        <v>0</v>
      </c>
      <c r="H97" s="23">
        <f>SUM(H98:H99)</f>
        <v>0</v>
      </c>
      <c r="I97" s="23">
        <f>SUM(I98:I99)</f>
        <v>0</v>
      </c>
      <c r="J97" s="23">
        <f>SUM(J98:J99)</f>
        <v>0</v>
      </c>
      <c r="K97" s="23">
        <f>SUM(K98:K99)</f>
        <v>0</v>
      </c>
      <c r="L97" s="19"/>
      <c r="M97" s="24"/>
      <c r="P97" s="25">
        <v>700</v>
      </c>
    </row>
    <row r="98" spans="3:16" ht="15" customHeight="1">
      <c r="C98" s="6"/>
      <c r="D98" s="54" t="s">
        <v>186</v>
      </c>
      <c r="E98" s="26" t="s">
        <v>187</v>
      </c>
      <c r="F98" s="22" t="s">
        <v>188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710</v>
      </c>
    </row>
    <row r="99" spans="3:16" ht="15" customHeight="1">
      <c r="C99" s="6"/>
      <c r="D99" s="54" t="s">
        <v>189</v>
      </c>
      <c r="E99" s="26" t="s">
        <v>190</v>
      </c>
      <c r="F99" s="22" t="s">
        <v>191</v>
      </c>
      <c r="G99" s="23">
        <f t="shared" si="0"/>
        <v>0</v>
      </c>
      <c r="H99" s="56">
        <f>H102</f>
        <v>0</v>
      </c>
      <c r="I99" s="56">
        <f>I102</f>
        <v>0</v>
      </c>
      <c r="J99" s="56">
        <f>J102</f>
        <v>0</v>
      </c>
      <c r="K99" s="56">
        <f>K102</f>
        <v>0</v>
      </c>
      <c r="L99" s="13"/>
      <c r="M99" s="24"/>
      <c r="P99" s="25">
        <v>720</v>
      </c>
    </row>
    <row r="100" spans="3:16" ht="15" customHeight="1">
      <c r="C100" s="6"/>
      <c r="D100" s="54" t="s">
        <v>192</v>
      </c>
      <c r="E100" s="49" t="s">
        <v>193</v>
      </c>
      <c r="F100" s="22" t="s">
        <v>194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>
        <v>730</v>
      </c>
    </row>
    <row r="101" spans="3:16" ht="15" customHeight="1">
      <c r="C101" s="6"/>
      <c r="D101" s="54" t="s">
        <v>195</v>
      </c>
      <c r="E101" s="50" t="s">
        <v>196</v>
      </c>
      <c r="F101" s="22" t="s">
        <v>197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5" customHeight="1">
      <c r="C102" s="6"/>
      <c r="D102" s="54" t="s">
        <v>198</v>
      </c>
      <c r="E102" s="49" t="s">
        <v>199</v>
      </c>
      <c r="F102" s="22" t="s">
        <v>200</v>
      </c>
      <c r="G102" s="23">
        <f t="shared" si="0"/>
        <v>0</v>
      </c>
      <c r="H102" s="55"/>
      <c r="I102" s="55"/>
      <c r="J102" s="55"/>
      <c r="K102" s="55"/>
      <c r="L102" s="13"/>
      <c r="M102" s="24"/>
      <c r="P102" s="25">
        <v>740</v>
      </c>
    </row>
    <row r="103" spans="3:16" ht="15" customHeight="1">
      <c r="C103" s="6"/>
      <c r="D103" s="54" t="s">
        <v>201</v>
      </c>
      <c r="E103" s="21" t="s">
        <v>202</v>
      </c>
      <c r="F103" s="22" t="s">
        <v>203</v>
      </c>
      <c r="G103" s="23">
        <f t="shared" si="0"/>
        <v>0</v>
      </c>
      <c r="H103" s="56">
        <f>H104+H120</f>
        <v>0</v>
      </c>
      <c r="I103" s="56">
        <f>I104+I120</f>
        <v>0</v>
      </c>
      <c r="J103" s="56">
        <f>J104+J120</f>
        <v>0</v>
      </c>
      <c r="K103" s="56">
        <f>K104+K120</f>
        <v>0</v>
      </c>
      <c r="L103" s="13"/>
      <c r="M103" s="24"/>
      <c r="P103" s="25">
        <v>750</v>
      </c>
    </row>
    <row r="104" spans="3:16" ht="15" customHeight="1">
      <c r="C104" s="6"/>
      <c r="D104" s="54" t="s">
        <v>204</v>
      </c>
      <c r="E104" s="26" t="s">
        <v>205</v>
      </c>
      <c r="F104" s="22" t="s">
        <v>206</v>
      </c>
      <c r="G104" s="23">
        <f t="shared" si="0"/>
        <v>0</v>
      </c>
      <c r="H104" s="56">
        <f>H105+H106</f>
        <v>0</v>
      </c>
      <c r="I104" s="56">
        <f>I105+I106</f>
        <v>0</v>
      </c>
      <c r="J104" s="56">
        <f>J105+J106</f>
        <v>0</v>
      </c>
      <c r="K104" s="56">
        <f>K105+K106</f>
        <v>0</v>
      </c>
      <c r="L104" s="13"/>
      <c r="M104" s="24"/>
      <c r="P104" s="25">
        <v>760</v>
      </c>
    </row>
    <row r="105" spans="3:16" ht="15" customHeight="1">
      <c r="C105" s="6"/>
      <c r="D105" s="54" t="s">
        <v>207</v>
      </c>
      <c r="E105" s="49" t="s">
        <v>208</v>
      </c>
      <c r="F105" s="22" t="s">
        <v>209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15" customHeight="1">
      <c r="C106" s="6"/>
      <c r="D106" s="54" t="s">
        <v>210</v>
      </c>
      <c r="E106" s="49" t="s">
        <v>211</v>
      </c>
      <c r="F106" s="22" t="s">
        <v>212</v>
      </c>
      <c r="G106" s="23">
        <f t="shared" si="0"/>
        <v>0</v>
      </c>
      <c r="H106" s="56">
        <f>H107+H110+H113+H116+H117+H118+H119</f>
        <v>0</v>
      </c>
      <c r="I106" s="56">
        <f>I107+I110+I113+I116+I117+I118+I119</f>
        <v>0</v>
      </c>
      <c r="J106" s="56">
        <f>J107+J110+J113+J116+J117+J118+J119</f>
        <v>0</v>
      </c>
      <c r="K106" s="56">
        <f>K107+K110+K113+K116+K117+K118+K119</f>
        <v>0</v>
      </c>
      <c r="L106" s="13"/>
      <c r="M106" s="24"/>
      <c r="P106" s="25"/>
    </row>
    <row r="107" spans="3:16" ht="45">
      <c r="C107" s="6"/>
      <c r="D107" s="54" t="s">
        <v>213</v>
      </c>
      <c r="E107" s="50" t="s">
        <v>214</v>
      </c>
      <c r="F107" s="22" t="s">
        <v>215</v>
      </c>
      <c r="G107" s="23">
        <f t="shared" si="0"/>
        <v>0</v>
      </c>
      <c r="H107" s="57">
        <f>H108+H109</f>
        <v>0</v>
      </c>
      <c r="I107" s="57">
        <f>I108+I109</f>
        <v>0</v>
      </c>
      <c r="J107" s="57">
        <f>J108+J109</f>
        <v>0</v>
      </c>
      <c r="K107" s="57">
        <f>K108+K109</f>
        <v>0</v>
      </c>
      <c r="L107" s="13"/>
      <c r="M107" s="24"/>
      <c r="P107" s="25"/>
    </row>
    <row r="108" spans="3:16" ht="15" customHeight="1">
      <c r="C108" s="6"/>
      <c r="D108" s="54" t="s">
        <v>216</v>
      </c>
      <c r="E108" s="58" t="s">
        <v>217</v>
      </c>
      <c r="F108" s="22" t="s">
        <v>218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15" customHeight="1">
      <c r="C109" s="6"/>
      <c r="D109" s="54" t="s">
        <v>219</v>
      </c>
      <c r="E109" s="58" t="s">
        <v>220</v>
      </c>
      <c r="F109" s="22" t="s">
        <v>221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45">
      <c r="C110" s="6"/>
      <c r="D110" s="54" t="s">
        <v>222</v>
      </c>
      <c r="E110" s="50" t="s">
        <v>223</v>
      </c>
      <c r="F110" s="22" t="s">
        <v>224</v>
      </c>
      <c r="G110" s="23">
        <f t="shared" si="0"/>
        <v>0</v>
      </c>
      <c r="H110" s="57">
        <f>H111+H112</f>
        <v>0</v>
      </c>
      <c r="I110" s="57">
        <f>I111+I112</f>
        <v>0</v>
      </c>
      <c r="J110" s="57">
        <f>J111+J112</f>
        <v>0</v>
      </c>
      <c r="K110" s="57">
        <f>K111+K112</f>
        <v>0</v>
      </c>
      <c r="L110" s="13"/>
      <c r="M110" s="24"/>
      <c r="P110" s="25"/>
    </row>
    <row r="111" spans="3:16" ht="15" customHeight="1">
      <c r="C111" s="6"/>
      <c r="D111" s="54" t="s">
        <v>225</v>
      </c>
      <c r="E111" s="58" t="s">
        <v>217</v>
      </c>
      <c r="F111" s="22" t="s">
        <v>226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>
      <c r="C112" s="6"/>
      <c r="D112" s="54" t="s">
        <v>227</v>
      </c>
      <c r="E112" s="58" t="s">
        <v>220</v>
      </c>
      <c r="F112" s="22" t="s">
        <v>228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229</v>
      </c>
      <c r="E113" s="50" t="s">
        <v>230</v>
      </c>
      <c r="F113" s="22" t="s">
        <v>231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>
      <c r="C114" s="6"/>
      <c r="D114" s="54" t="s">
        <v>232</v>
      </c>
      <c r="E114" s="58" t="s">
        <v>217</v>
      </c>
      <c r="F114" s="22" t="s">
        <v>233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234</v>
      </c>
      <c r="E115" s="58" t="s">
        <v>220</v>
      </c>
      <c r="F115" s="22" t="s">
        <v>235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5" customHeight="1">
      <c r="C116" s="6"/>
      <c r="D116" s="54" t="s">
        <v>236</v>
      </c>
      <c r="E116" s="50" t="s">
        <v>237</v>
      </c>
      <c r="F116" s="22" t="s">
        <v>238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5" customHeight="1">
      <c r="C117" s="6"/>
      <c r="D117" s="54" t="s">
        <v>239</v>
      </c>
      <c r="E117" s="50" t="s">
        <v>240</v>
      </c>
      <c r="F117" s="22" t="s">
        <v>241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9.5" customHeight="1">
      <c r="C118" s="6"/>
      <c r="D118" s="54" t="s">
        <v>242</v>
      </c>
      <c r="E118" s="50" t="s">
        <v>243</v>
      </c>
      <c r="F118" s="22" t="s">
        <v>244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3.5" customHeight="1">
      <c r="C119" s="6"/>
      <c r="D119" s="54" t="s">
        <v>245</v>
      </c>
      <c r="E119" s="50" t="s">
        <v>246</v>
      </c>
      <c r="F119" s="22" t="s">
        <v>247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248</v>
      </c>
      <c r="E120" s="26" t="s">
        <v>249</v>
      </c>
      <c r="F120" s="22" t="s">
        <v>250</v>
      </c>
      <c r="G120" s="23">
        <f t="shared" si="0"/>
        <v>0</v>
      </c>
      <c r="H120" s="56">
        <f>H123</f>
        <v>0</v>
      </c>
      <c r="I120" s="56">
        <f>I123</f>
        <v>0</v>
      </c>
      <c r="J120" s="56">
        <f>J123</f>
        <v>0</v>
      </c>
      <c r="K120" s="56">
        <f>K123</f>
        <v>0</v>
      </c>
      <c r="L120" s="13"/>
      <c r="M120" s="24"/>
      <c r="P120" s="25">
        <v>770</v>
      </c>
    </row>
    <row r="121" spans="3:16" ht="15" customHeight="1">
      <c r="C121" s="6"/>
      <c r="D121" s="54" t="s">
        <v>251</v>
      </c>
      <c r="E121" s="49" t="s">
        <v>193</v>
      </c>
      <c r="F121" s="22" t="s">
        <v>252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>
        <v>780</v>
      </c>
    </row>
    <row r="122" spans="3:16" ht="15" customHeight="1">
      <c r="C122" s="6"/>
      <c r="D122" s="54" t="s">
        <v>253</v>
      </c>
      <c r="E122" s="50" t="s">
        <v>254</v>
      </c>
      <c r="F122" s="22" t="s">
        <v>255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>
      <c r="C123" s="6"/>
      <c r="D123" s="54" t="s">
        <v>256</v>
      </c>
      <c r="E123" s="49" t="s">
        <v>199</v>
      </c>
      <c r="F123" s="22" t="s">
        <v>257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>
        <v>790</v>
      </c>
    </row>
    <row r="124" spans="3:16" ht="27" customHeight="1">
      <c r="C124" s="6"/>
      <c r="D124" s="54" t="s">
        <v>258</v>
      </c>
      <c r="E124" s="47" t="s">
        <v>259</v>
      </c>
      <c r="F124" s="22" t="s">
        <v>260</v>
      </c>
      <c r="G124" s="23">
        <f t="shared" si="0"/>
        <v>5349.6289999999999</v>
      </c>
      <c r="H124" s="56">
        <f>SUM(H125:H126)</f>
        <v>0</v>
      </c>
      <c r="I124" s="56">
        <f>SUM(I125:I126)</f>
        <v>4490.9089999999997</v>
      </c>
      <c r="J124" s="56">
        <f>SUM(J125:J126)</f>
        <v>254.523</v>
      </c>
      <c r="K124" s="56">
        <f>SUM(K125:K126)</f>
        <v>604.197</v>
      </c>
      <c r="L124" s="13"/>
      <c r="M124" s="24"/>
      <c r="P124" s="25"/>
    </row>
    <row r="125" spans="3:16" ht="15" customHeight="1">
      <c r="C125" s="6"/>
      <c r="D125" s="54" t="s">
        <v>261</v>
      </c>
      <c r="E125" s="26" t="s">
        <v>187</v>
      </c>
      <c r="F125" s="22" t="s">
        <v>262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>
      <c r="C126" s="6"/>
      <c r="D126" s="54" t="s">
        <v>263</v>
      </c>
      <c r="E126" s="26" t="s">
        <v>190</v>
      </c>
      <c r="F126" s="22" t="s">
        <v>264</v>
      </c>
      <c r="G126" s="23">
        <f t="shared" si="0"/>
        <v>5349.6289999999999</v>
      </c>
      <c r="H126" s="56">
        <f>H128</f>
        <v>0</v>
      </c>
      <c r="I126" s="56">
        <f>I128</f>
        <v>4490.9089999999997</v>
      </c>
      <c r="J126" s="56">
        <f>J128</f>
        <v>254.523</v>
      </c>
      <c r="K126" s="56">
        <f>K128</f>
        <v>604.197</v>
      </c>
      <c r="L126" s="13"/>
      <c r="M126" s="24"/>
      <c r="P126" s="25"/>
    </row>
    <row r="127" spans="3:16" ht="15" customHeight="1">
      <c r="C127" s="6"/>
      <c r="D127" s="54" t="s">
        <v>265</v>
      </c>
      <c r="E127" s="49" t="s">
        <v>266</v>
      </c>
      <c r="F127" s="22" t="s">
        <v>267</v>
      </c>
      <c r="G127" s="23">
        <f t="shared" si="0"/>
        <v>10.55</v>
      </c>
      <c r="H127" s="55"/>
      <c r="I127" s="55">
        <v>10.55</v>
      </c>
      <c r="J127" s="55"/>
      <c r="K127" s="55"/>
      <c r="L127" s="13"/>
      <c r="M127" s="24"/>
      <c r="P127" s="25"/>
    </row>
    <row r="128" spans="3:16" ht="15" customHeight="1">
      <c r="C128" s="6"/>
      <c r="D128" s="54" t="s">
        <v>268</v>
      </c>
      <c r="E128" s="49" t="s">
        <v>199</v>
      </c>
      <c r="F128" s="22" t="s">
        <v>269</v>
      </c>
      <c r="G128" s="23">
        <f t="shared" si="0"/>
        <v>5349.6289999999999</v>
      </c>
      <c r="H128" s="55"/>
      <c r="I128" s="55">
        <f>I34</f>
        <v>4490.9089999999997</v>
      </c>
      <c r="J128" s="55">
        <f>J34</f>
        <v>254.523</v>
      </c>
      <c r="K128" s="55">
        <f>K34</f>
        <v>604.197</v>
      </c>
      <c r="L128" s="13"/>
      <c r="M128" s="24"/>
      <c r="P128" s="25"/>
    </row>
    <row r="129" spans="3:16" ht="15" customHeight="1">
      <c r="C129" s="6"/>
      <c r="D129" s="83" t="s">
        <v>270</v>
      </c>
      <c r="E129" s="84"/>
      <c r="F129" s="84"/>
      <c r="G129" s="84"/>
      <c r="H129" s="84"/>
      <c r="I129" s="84"/>
      <c r="J129" s="84"/>
      <c r="K129" s="85"/>
      <c r="L129" s="13"/>
      <c r="M129" s="24"/>
      <c r="P129" s="59"/>
    </row>
    <row r="130" spans="3:16" ht="22.5">
      <c r="C130" s="6"/>
      <c r="D130" s="54" t="s">
        <v>271</v>
      </c>
      <c r="E130" s="21" t="s">
        <v>272</v>
      </c>
      <c r="F130" s="22" t="s">
        <v>273</v>
      </c>
      <c r="G130" s="23">
        <f t="shared" si="0"/>
        <v>0</v>
      </c>
      <c r="H130" s="56">
        <f>SUM( H131:H132)</f>
        <v>0</v>
      </c>
      <c r="I130" s="56">
        <f>SUM( I131:I132)</f>
        <v>0</v>
      </c>
      <c r="J130" s="56">
        <f>SUM( J131:J132)</f>
        <v>0</v>
      </c>
      <c r="K130" s="56">
        <f>SUM( K131:K132)</f>
        <v>0</v>
      </c>
      <c r="L130" s="13"/>
      <c r="M130" s="24"/>
      <c r="P130" s="25">
        <v>800</v>
      </c>
    </row>
    <row r="131" spans="3:16" ht="15" customHeight="1">
      <c r="C131" s="6"/>
      <c r="D131" s="54" t="s">
        <v>274</v>
      </c>
      <c r="E131" s="26" t="s">
        <v>187</v>
      </c>
      <c r="F131" s="22" t="s">
        <v>275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810</v>
      </c>
    </row>
    <row r="132" spans="3:16" ht="15" customHeight="1">
      <c r="C132" s="6"/>
      <c r="D132" s="54" t="s">
        <v>276</v>
      </c>
      <c r="E132" s="26" t="s">
        <v>190</v>
      </c>
      <c r="F132" s="22" t="s">
        <v>277</v>
      </c>
      <c r="G132" s="23">
        <f t="shared" si="0"/>
        <v>0</v>
      </c>
      <c r="H132" s="56">
        <f>H133+H135</f>
        <v>0</v>
      </c>
      <c r="I132" s="56">
        <f>I133+I135</f>
        <v>0</v>
      </c>
      <c r="J132" s="56">
        <f>J133+J135</f>
        <v>0</v>
      </c>
      <c r="K132" s="56">
        <f>K133+K135</f>
        <v>0</v>
      </c>
      <c r="L132" s="13"/>
      <c r="M132" s="24"/>
      <c r="P132" s="25">
        <v>820</v>
      </c>
    </row>
    <row r="133" spans="3:16" ht="15" customHeight="1">
      <c r="C133" s="6"/>
      <c r="D133" s="54" t="s">
        <v>278</v>
      </c>
      <c r="E133" s="49" t="s">
        <v>279</v>
      </c>
      <c r="F133" s="22" t="s">
        <v>280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>
        <v>830</v>
      </c>
    </row>
    <row r="134" spans="3:16" ht="15" customHeight="1">
      <c r="C134" s="6"/>
      <c r="D134" s="54" t="s">
        <v>281</v>
      </c>
      <c r="E134" s="50" t="s">
        <v>282</v>
      </c>
      <c r="F134" s="22" t="s">
        <v>283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59"/>
    </row>
    <row r="135" spans="3:16" ht="15" customHeight="1">
      <c r="C135" s="6"/>
      <c r="D135" s="54" t="s">
        <v>284</v>
      </c>
      <c r="E135" s="49" t="s">
        <v>285</v>
      </c>
      <c r="F135" s="22" t="s">
        <v>286</v>
      </c>
      <c r="G135" s="23">
        <f t="shared" si="0"/>
        <v>0</v>
      </c>
      <c r="H135" s="55"/>
      <c r="I135" s="55"/>
      <c r="J135" s="55"/>
      <c r="K135" s="55"/>
      <c r="L135" s="13"/>
      <c r="M135" s="24"/>
      <c r="P135" s="25">
        <v>840</v>
      </c>
    </row>
    <row r="136" spans="3:16" ht="15" customHeight="1">
      <c r="C136" s="6"/>
      <c r="D136" s="54" t="s">
        <v>29</v>
      </c>
      <c r="E136" s="21" t="s">
        <v>287</v>
      </c>
      <c r="F136" s="22" t="s">
        <v>288</v>
      </c>
      <c r="G136" s="23">
        <f t="shared" si="0"/>
        <v>0</v>
      </c>
      <c r="H136" s="57">
        <f>SUM( H137+H142)</f>
        <v>0</v>
      </c>
      <c r="I136" s="57">
        <f>SUM( I137+I142)</f>
        <v>0</v>
      </c>
      <c r="J136" s="57">
        <f>SUM( J137+J142)</f>
        <v>0</v>
      </c>
      <c r="K136" s="57">
        <f>SUM( K137+K142)</f>
        <v>0</v>
      </c>
      <c r="L136" s="60"/>
      <c r="M136" s="24"/>
      <c r="P136" s="25">
        <v>850</v>
      </c>
    </row>
    <row r="137" spans="3:16" ht="15" customHeight="1">
      <c r="C137" s="6"/>
      <c r="D137" s="54" t="s">
        <v>289</v>
      </c>
      <c r="E137" s="26" t="s">
        <v>187</v>
      </c>
      <c r="F137" s="22" t="s">
        <v>290</v>
      </c>
      <c r="G137" s="23">
        <f t="shared" ref="G137:G150" si="1">SUM(H137:K137)</f>
        <v>0</v>
      </c>
      <c r="H137" s="57">
        <f>SUM( H138:H139)</f>
        <v>0</v>
      </c>
      <c r="I137" s="57">
        <f>SUM( I138:I139)</f>
        <v>0</v>
      </c>
      <c r="J137" s="57">
        <f>SUM( J138:J139)</f>
        <v>0</v>
      </c>
      <c r="K137" s="57">
        <f>SUM( K138:K139)</f>
        <v>0</v>
      </c>
      <c r="L137" s="60"/>
      <c r="M137" s="24"/>
      <c r="P137" s="25">
        <v>860</v>
      </c>
    </row>
    <row r="138" spans="3:16" ht="15" customHeight="1">
      <c r="C138" s="6"/>
      <c r="D138" s="54" t="s">
        <v>291</v>
      </c>
      <c r="E138" s="49" t="s">
        <v>208</v>
      </c>
      <c r="F138" s="22" t="s">
        <v>292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293</v>
      </c>
      <c r="E139" s="49" t="s">
        <v>211</v>
      </c>
      <c r="F139" s="22" t="s">
        <v>294</v>
      </c>
      <c r="G139" s="23">
        <f t="shared" si="1"/>
        <v>0</v>
      </c>
      <c r="H139" s="57">
        <f>H140+H141</f>
        <v>0</v>
      </c>
      <c r="I139" s="57">
        <f>I140+I141</f>
        <v>0</v>
      </c>
      <c r="J139" s="57">
        <f>J140+J141</f>
        <v>0</v>
      </c>
      <c r="K139" s="57">
        <f>K140+K141</f>
        <v>0</v>
      </c>
      <c r="L139" s="60"/>
      <c r="M139" s="24"/>
      <c r="P139" s="25"/>
    </row>
    <row r="140" spans="3:16" ht="15" customHeight="1">
      <c r="C140" s="6"/>
      <c r="D140" s="54" t="s">
        <v>295</v>
      </c>
      <c r="E140" s="50" t="s">
        <v>217</v>
      </c>
      <c r="F140" s="22" t="s">
        <v>296</v>
      </c>
      <c r="G140" s="23">
        <f t="shared" si="1"/>
        <v>0</v>
      </c>
      <c r="H140" s="61"/>
      <c r="I140" s="61"/>
      <c r="J140" s="61"/>
      <c r="K140" s="61"/>
      <c r="L140" s="60"/>
      <c r="M140" s="24"/>
      <c r="P140" s="25"/>
    </row>
    <row r="141" spans="3:16" ht="15" customHeight="1">
      <c r="C141" s="6"/>
      <c r="D141" s="54" t="s">
        <v>297</v>
      </c>
      <c r="E141" s="50" t="s">
        <v>298</v>
      </c>
      <c r="F141" s="22" t="s">
        <v>299</v>
      </c>
      <c r="G141" s="23">
        <f t="shared" si="1"/>
        <v>0</v>
      </c>
      <c r="H141" s="61"/>
      <c r="I141" s="61"/>
      <c r="J141" s="61"/>
      <c r="K141" s="61"/>
      <c r="L141" s="60"/>
      <c r="M141" s="24"/>
      <c r="P141" s="25"/>
    </row>
    <row r="142" spans="3:16" ht="15" customHeight="1">
      <c r="C142" s="6"/>
      <c r="D142" s="54" t="s">
        <v>300</v>
      </c>
      <c r="E142" s="26" t="s">
        <v>249</v>
      </c>
      <c r="F142" s="22" t="s">
        <v>301</v>
      </c>
      <c r="G142" s="23">
        <f t="shared" si="1"/>
        <v>0</v>
      </c>
      <c r="H142" s="57">
        <f>H143+H145</f>
        <v>0</v>
      </c>
      <c r="I142" s="57">
        <f>I143+I145</f>
        <v>0</v>
      </c>
      <c r="J142" s="57">
        <f>J143+J145</f>
        <v>0</v>
      </c>
      <c r="K142" s="57">
        <f>K143+K145</f>
        <v>0</v>
      </c>
      <c r="L142" s="60"/>
      <c r="M142" s="24"/>
      <c r="P142" s="25">
        <v>870</v>
      </c>
    </row>
    <row r="143" spans="3:16" ht="15" customHeight="1">
      <c r="C143" s="6"/>
      <c r="D143" s="54" t="s">
        <v>302</v>
      </c>
      <c r="E143" s="49" t="s">
        <v>279</v>
      </c>
      <c r="F143" s="22" t="s">
        <v>303</v>
      </c>
      <c r="G143" s="23">
        <f t="shared" si="1"/>
        <v>0</v>
      </c>
      <c r="H143" s="55"/>
      <c r="I143" s="55"/>
      <c r="J143" s="55"/>
      <c r="K143" s="55"/>
      <c r="L143" s="60"/>
      <c r="M143" s="24"/>
      <c r="P143" s="25">
        <v>880</v>
      </c>
    </row>
    <row r="144" spans="3:16" ht="15" customHeight="1">
      <c r="C144" s="6"/>
      <c r="D144" s="54" t="s">
        <v>304</v>
      </c>
      <c r="E144" s="50" t="s">
        <v>282</v>
      </c>
      <c r="F144" s="22" t="s">
        <v>305</v>
      </c>
      <c r="G144" s="23">
        <f t="shared" si="1"/>
        <v>0</v>
      </c>
      <c r="H144" s="55"/>
      <c r="I144" s="55"/>
      <c r="J144" s="55"/>
      <c r="K144" s="55"/>
      <c r="L144" s="60"/>
      <c r="M144" s="24"/>
      <c r="P144" s="25"/>
    </row>
    <row r="145" spans="3:19" ht="15" customHeight="1">
      <c r="C145" s="6"/>
      <c r="D145" s="54" t="s">
        <v>306</v>
      </c>
      <c r="E145" s="49" t="s">
        <v>285</v>
      </c>
      <c r="F145" s="22" t="s">
        <v>307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>
        <v>890</v>
      </c>
    </row>
    <row r="146" spans="3:19" ht="28.5" customHeight="1">
      <c r="C146" s="6"/>
      <c r="D146" s="54" t="s">
        <v>308</v>
      </c>
      <c r="E146" s="21" t="s">
        <v>309</v>
      </c>
      <c r="F146" s="22" t="s">
        <v>310</v>
      </c>
      <c r="G146" s="23">
        <f t="shared" si="1"/>
        <v>2714.4283430600003</v>
      </c>
      <c r="H146" s="63">
        <f>SUM( H147:H148)</f>
        <v>0</v>
      </c>
      <c r="I146" s="63">
        <f>SUM( I147:I148)</f>
        <v>2572.7910662600002</v>
      </c>
      <c r="J146" s="63">
        <f>SUM( J147:J148)</f>
        <v>41.981023620000002</v>
      </c>
      <c r="K146" s="63">
        <f>SUM( K147:K148)</f>
        <v>99.656253179999993</v>
      </c>
      <c r="L146" s="60"/>
      <c r="M146" s="24"/>
      <c r="P146" s="25">
        <v>900</v>
      </c>
    </row>
    <row r="147" spans="3:19" ht="15" customHeight="1">
      <c r="C147" s="6"/>
      <c r="D147" s="54" t="s">
        <v>311</v>
      </c>
      <c r="E147" s="26" t="s">
        <v>187</v>
      </c>
      <c r="F147" s="22" t="s">
        <v>312</v>
      </c>
      <c r="G147" s="23">
        <f t="shared" si="1"/>
        <v>0</v>
      </c>
      <c r="H147" s="62"/>
      <c r="I147" s="62"/>
      <c r="J147" s="62"/>
      <c r="K147" s="62"/>
      <c r="L147" s="60"/>
      <c r="M147" s="24"/>
      <c r="P147" s="25"/>
    </row>
    <row r="148" spans="3:19" ht="15" customHeight="1">
      <c r="C148" s="6"/>
      <c r="D148" s="54" t="s">
        <v>313</v>
      </c>
      <c r="E148" s="26" t="s">
        <v>190</v>
      </c>
      <c r="F148" s="22" t="s">
        <v>314</v>
      </c>
      <c r="G148" s="23">
        <f t="shared" si="1"/>
        <v>2714.4283430600003</v>
      </c>
      <c r="H148" s="63">
        <f>H149+H150</f>
        <v>0</v>
      </c>
      <c r="I148" s="63">
        <f>I149+I150</f>
        <v>2572.7910662600002</v>
      </c>
      <c r="J148" s="63">
        <f>J149+J150</f>
        <v>41.981023620000002</v>
      </c>
      <c r="K148" s="63">
        <f>K149+K150</f>
        <v>99.656253179999993</v>
      </c>
      <c r="L148" s="60"/>
      <c r="M148" s="24"/>
      <c r="P148" s="25"/>
    </row>
    <row r="149" spans="3:19" ht="15" customHeight="1">
      <c r="C149" s="6"/>
      <c r="D149" s="54" t="s">
        <v>315</v>
      </c>
      <c r="E149" s="49" t="s">
        <v>316</v>
      </c>
      <c r="F149" s="22" t="s">
        <v>317</v>
      </c>
      <c r="G149" s="23">
        <f t="shared" si="1"/>
        <v>1819.1300645000003</v>
      </c>
      <c r="H149" s="62"/>
      <c r="I149" s="62">
        <f>I127*172429.39/1000</f>
        <v>1819.1300645000003</v>
      </c>
      <c r="J149" s="62"/>
      <c r="K149" s="62"/>
      <c r="L149" s="60"/>
      <c r="M149" s="24"/>
      <c r="P149" s="25" t="s">
        <v>318</v>
      </c>
    </row>
    <row r="150" spans="3:19" ht="15" customHeight="1">
      <c r="C150" s="6"/>
      <c r="D150" s="54" t="s">
        <v>319</v>
      </c>
      <c r="E150" s="49" t="s">
        <v>285</v>
      </c>
      <c r="F150" s="22" t="s">
        <v>320</v>
      </c>
      <c r="G150" s="23">
        <f t="shared" si="1"/>
        <v>895.29827855999997</v>
      </c>
      <c r="H150" s="62"/>
      <c r="I150" s="62">
        <f>(I34+G48)*164.94/1000</f>
        <v>753.66100175999998</v>
      </c>
      <c r="J150" s="62">
        <f>J34*164.94/1000</f>
        <v>41.981023620000002</v>
      </c>
      <c r="K150" s="62">
        <f>K34*164.94/1000</f>
        <v>99.656253179999993</v>
      </c>
      <c r="L150" s="60"/>
      <c r="M150" s="24"/>
      <c r="P150" s="25" t="s">
        <v>321</v>
      </c>
    </row>
    <row r="151" spans="3:19">
      <c r="D151" s="11"/>
      <c r="E151" s="64"/>
      <c r="F151" s="64"/>
      <c r="G151" s="64"/>
      <c r="H151" s="64"/>
      <c r="I151" s="64"/>
      <c r="J151" s="64"/>
      <c r="K151" s="65"/>
      <c r="L151" s="65"/>
      <c r="M151" s="65"/>
      <c r="N151" s="65"/>
      <c r="O151" s="65"/>
      <c r="P151" s="65"/>
      <c r="Q151" s="65"/>
      <c r="R151" s="66"/>
      <c r="S151" s="66"/>
    </row>
    <row r="152" spans="3:19" ht="12.75">
      <c r="E152" s="24" t="s">
        <v>322</v>
      </c>
      <c r="F152" s="76" t="str">
        <f>IF([3]Титульный!G45="","",[3]Титульный!G45)</f>
        <v>экономист</v>
      </c>
      <c r="G152" s="76"/>
      <c r="H152" s="67"/>
      <c r="I152" s="76" t="str">
        <f>IF([3]Титульный!G44="","",[3]Титульный!G44)</f>
        <v>Гизикова А.Н.</v>
      </c>
      <c r="J152" s="76"/>
      <c r="K152" s="76"/>
      <c r="L152" s="67"/>
      <c r="M152" s="68"/>
      <c r="N152" s="68"/>
      <c r="O152" s="69"/>
      <c r="P152" s="65"/>
      <c r="Q152" s="65"/>
      <c r="R152" s="66"/>
      <c r="S152" s="66"/>
    </row>
    <row r="153" spans="3:19" ht="12.75">
      <c r="E153" s="70" t="s">
        <v>323</v>
      </c>
      <c r="F153" s="86" t="s">
        <v>324</v>
      </c>
      <c r="G153" s="86"/>
      <c r="H153" s="69"/>
      <c r="I153" s="86" t="s">
        <v>325</v>
      </c>
      <c r="J153" s="86"/>
      <c r="K153" s="86"/>
      <c r="L153" s="69"/>
      <c r="M153" s="86" t="s">
        <v>326</v>
      </c>
      <c r="N153" s="86"/>
      <c r="O153" s="24"/>
      <c r="P153" s="65"/>
      <c r="Q153" s="65"/>
      <c r="R153" s="66"/>
      <c r="S153" s="66"/>
    </row>
    <row r="154" spans="3:19" ht="12.75">
      <c r="E154" s="70" t="s">
        <v>327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65"/>
      <c r="Q154" s="65"/>
      <c r="R154" s="66"/>
      <c r="S154" s="66"/>
    </row>
    <row r="155" spans="3:19" ht="12.75">
      <c r="E155" s="70" t="s">
        <v>328</v>
      </c>
      <c r="F155" s="76" t="str">
        <f>IF([3]Титульный!G46="","",[3]Титульный!G46)</f>
        <v>(861) 258-50-71</v>
      </c>
      <c r="G155" s="76"/>
      <c r="H155" s="76"/>
      <c r="I155" s="24"/>
      <c r="J155" s="70" t="s">
        <v>329</v>
      </c>
      <c r="K155" s="71"/>
      <c r="L155" s="24"/>
      <c r="M155" s="24"/>
      <c r="N155" s="24"/>
      <c r="O155" s="24"/>
      <c r="P155" s="65"/>
      <c r="Q155" s="65"/>
      <c r="R155" s="66"/>
      <c r="S155" s="66"/>
    </row>
    <row r="156" spans="3:19" ht="12.75">
      <c r="E156" s="24" t="s">
        <v>330</v>
      </c>
      <c r="F156" s="87" t="s">
        <v>331</v>
      </c>
      <c r="G156" s="87"/>
      <c r="H156" s="87"/>
      <c r="I156" s="24"/>
      <c r="J156" s="72" t="s">
        <v>332</v>
      </c>
      <c r="K156" s="72"/>
      <c r="L156" s="24"/>
      <c r="M156" s="24"/>
      <c r="N156" s="24"/>
      <c r="O156" s="24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  <row r="184" spans="5:19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</row>
    <row r="185" spans="5:19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19 E58 E65 E81"/>
    <dataValidation type="decimal" allowBlank="1" showErrorMessage="1" errorTitle="Ошибка" error="Допускается ввод только действительных чисел!" sqref="G24:K26 G93:K95 G15:K19 G54:K58 G83:K91 G97:K128 G63:K65 G44:K52 G28:K42 G130:K150 G60:K61 G21:K22 G67:K81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indexed="31"/>
  </sheetPr>
  <dimension ref="A1:CC185"/>
  <sheetViews>
    <sheetView topLeftCell="C129" workbookViewId="0">
      <selection activeCell="P150" sqref="P150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335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5513.6109999999999</v>
      </c>
      <c r="H15" s="23">
        <f>H16+H17+H21+H24</f>
        <v>0</v>
      </c>
      <c r="I15" s="23">
        <f>I16+I17+I21+I24</f>
        <v>5507.4480000000003</v>
      </c>
      <c r="J15" s="23">
        <f>J16+J17+J21+J24</f>
        <v>6.1630000000000003</v>
      </c>
      <c r="K15" s="23">
        <f>K16+K17+K21+K24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6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6.1630000000000003</v>
      </c>
      <c r="H17" s="23">
        <f>SUM(H18:H20)</f>
        <v>0</v>
      </c>
      <c r="I17" s="23">
        <f>SUM(I18:I20)</f>
        <v>0</v>
      </c>
      <c r="J17" s="23">
        <f>SUM(J18:J20)</f>
        <v>6.1630000000000003</v>
      </c>
      <c r="K17" s="23">
        <f>SUM(K18:K20)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32" t="s">
        <v>30</v>
      </c>
      <c r="D19" s="33" t="s">
        <v>31</v>
      </c>
      <c r="E19" s="34" t="s">
        <v>32</v>
      </c>
      <c r="F19" s="35">
        <v>31</v>
      </c>
      <c r="G19" s="36">
        <f>SUM(H19:K19)</f>
        <v>6.1630000000000003</v>
      </c>
      <c r="H19" s="37"/>
      <c r="I19" s="37"/>
      <c r="J19" s="37">
        <v>6.1630000000000003</v>
      </c>
      <c r="K19" s="38"/>
      <c r="L19" s="19"/>
      <c r="M19" s="39"/>
      <c r="N19" s="40"/>
      <c r="O19" s="40"/>
    </row>
    <row r="20" spans="3:16" s="17" customFormat="1" ht="15" customHeight="1">
      <c r="C20" s="18"/>
      <c r="D20" s="41"/>
      <c r="E20" s="42" t="s">
        <v>33</v>
      </c>
      <c r="F20" s="43"/>
      <c r="G20" s="43"/>
      <c r="H20" s="43"/>
      <c r="I20" s="43"/>
      <c r="J20" s="43"/>
      <c r="K20" s="44"/>
      <c r="L20" s="19"/>
      <c r="M20" s="24"/>
      <c r="P20" s="45"/>
    </row>
    <row r="21" spans="3:16" s="17" customFormat="1" ht="15" customHeight="1">
      <c r="C21" s="18"/>
      <c r="D21" s="20" t="s">
        <v>34</v>
      </c>
      <c r="E21" s="26" t="s">
        <v>35</v>
      </c>
      <c r="F21" s="22" t="s">
        <v>36</v>
      </c>
      <c r="G21" s="23">
        <f t="shared" si="0"/>
        <v>0</v>
      </c>
      <c r="H21" s="23">
        <f>SUM(H22:H23)</f>
        <v>0</v>
      </c>
      <c r="I21" s="23">
        <f>SUM(I22:I23)</f>
        <v>0</v>
      </c>
      <c r="J21" s="23">
        <f>SUM(J22:J23)</f>
        <v>0</v>
      </c>
      <c r="K21" s="23">
        <f>SUM(K22:K23)</f>
        <v>0</v>
      </c>
      <c r="L21" s="19"/>
      <c r="M21" s="24"/>
      <c r="P21" s="45"/>
    </row>
    <row r="22" spans="3:16" s="17" customFormat="1" ht="12.75" hidden="1">
      <c r="C22" s="18"/>
      <c r="D22" s="28" t="s">
        <v>37</v>
      </c>
      <c r="E22" s="29"/>
      <c r="F22" s="30" t="s">
        <v>36</v>
      </c>
      <c r="G22" s="31"/>
      <c r="H22" s="31"/>
      <c r="I22" s="31"/>
      <c r="J22" s="31"/>
      <c r="K22" s="31"/>
      <c r="L22" s="19"/>
      <c r="M22" s="24"/>
      <c r="P22" s="25"/>
    </row>
    <row r="23" spans="3:16" s="17" customFormat="1" ht="15" customHeight="1">
      <c r="C23" s="18"/>
      <c r="D23" s="41"/>
      <c r="E23" s="42" t="s">
        <v>33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>
      <c r="C24" s="18"/>
      <c r="D24" s="20" t="s">
        <v>38</v>
      </c>
      <c r="E24" s="26" t="s">
        <v>39</v>
      </c>
      <c r="F24" s="22" t="s">
        <v>40</v>
      </c>
      <c r="G24" s="23">
        <f t="shared" si="0"/>
        <v>5507.4480000000003</v>
      </c>
      <c r="H24" s="23">
        <f>SUM(H25:H27)</f>
        <v>0</v>
      </c>
      <c r="I24" s="23">
        <f>SUM(I25:I27)</f>
        <v>5507.4480000000003</v>
      </c>
      <c r="J24" s="23">
        <f>SUM(J25:J27)</f>
        <v>0</v>
      </c>
      <c r="K24" s="23">
        <f>SUM(K25:K27)</f>
        <v>0</v>
      </c>
      <c r="L24" s="19"/>
      <c r="M24" s="24"/>
      <c r="P24" s="25">
        <v>40</v>
      </c>
    </row>
    <row r="25" spans="3:16" s="17" customFormat="1" ht="12.75" hidden="1">
      <c r="C25" s="18"/>
      <c r="D25" s="28" t="s">
        <v>41</v>
      </c>
      <c r="E25" s="29"/>
      <c r="F25" s="30" t="s">
        <v>40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>
      <c r="C26" s="32" t="s">
        <v>30</v>
      </c>
      <c r="D26" s="33" t="s">
        <v>42</v>
      </c>
      <c r="E26" s="34" t="s">
        <v>43</v>
      </c>
      <c r="F26" s="35">
        <v>431</v>
      </c>
      <c r="G26" s="36">
        <f>SUM(H26:K26)</f>
        <v>5507.4480000000003</v>
      </c>
      <c r="H26" s="37"/>
      <c r="I26" s="37">
        <v>5507.4480000000003</v>
      </c>
      <c r="J26" s="37"/>
      <c r="K26" s="38"/>
      <c r="L26" s="19"/>
      <c r="M26" s="39"/>
      <c r="N26" s="40"/>
      <c r="O26" s="40"/>
    </row>
    <row r="27" spans="3:16" s="17" customFormat="1" ht="15" customHeight="1">
      <c r="C27" s="18"/>
      <c r="D27" s="41"/>
      <c r="E27" s="42" t="s">
        <v>33</v>
      </c>
      <c r="F27" s="43"/>
      <c r="G27" s="43"/>
      <c r="H27" s="43"/>
      <c r="I27" s="43"/>
      <c r="J27" s="43"/>
      <c r="K27" s="44"/>
      <c r="L27" s="19"/>
      <c r="M27" s="24"/>
      <c r="P27" s="25"/>
    </row>
    <row r="28" spans="3:16" s="17" customFormat="1" ht="15" customHeight="1">
      <c r="C28" s="18"/>
      <c r="D28" s="20" t="s">
        <v>44</v>
      </c>
      <c r="E28" s="21" t="s">
        <v>45</v>
      </c>
      <c r="F28" s="22" t="s">
        <v>46</v>
      </c>
      <c r="G28" s="23">
        <f t="shared" si="0"/>
        <v>1603.8730000000019</v>
      </c>
      <c r="H28" s="23">
        <f>H30+H31+H32</f>
        <v>0</v>
      </c>
      <c r="I28" s="23">
        <f>I29+I31+I32</f>
        <v>0</v>
      </c>
      <c r="J28" s="23">
        <f>J29+J30+J32</f>
        <v>933.07600000000093</v>
      </c>
      <c r="K28" s="23">
        <f>K29+K30+K31</f>
        <v>670.79700000000093</v>
      </c>
      <c r="L28" s="19"/>
      <c r="M28" s="24"/>
      <c r="P28" s="25">
        <v>50</v>
      </c>
    </row>
    <row r="29" spans="3:16" s="17" customFormat="1" ht="15" customHeight="1">
      <c r="C29" s="18"/>
      <c r="D29" s="20" t="s">
        <v>47</v>
      </c>
      <c r="E29" s="26" t="s">
        <v>17</v>
      </c>
      <c r="F29" s="22" t="s">
        <v>48</v>
      </c>
      <c r="G29" s="23">
        <f t="shared" si="0"/>
        <v>0</v>
      </c>
      <c r="H29" s="46"/>
      <c r="I29" s="27"/>
      <c r="J29" s="27"/>
      <c r="K29" s="27"/>
      <c r="L29" s="19"/>
      <c r="M29" s="24"/>
      <c r="P29" s="25">
        <v>60</v>
      </c>
    </row>
    <row r="30" spans="3:16" s="17" customFormat="1" ht="15" customHeight="1">
      <c r="C30" s="18"/>
      <c r="D30" s="20" t="s">
        <v>49</v>
      </c>
      <c r="E30" s="26" t="s">
        <v>18</v>
      </c>
      <c r="F30" s="22" t="s">
        <v>50</v>
      </c>
      <c r="G30" s="23">
        <f t="shared" si="0"/>
        <v>933.07600000000093</v>
      </c>
      <c r="H30" s="27"/>
      <c r="I30" s="46"/>
      <c r="J30" s="27">
        <f>I15-I34-I48</f>
        <v>933.07600000000093</v>
      </c>
      <c r="K30" s="27"/>
      <c r="L30" s="19"/>
      <c r="M30" s="24"/>
      <c r="P30" s="25">
        <v>70</v>
      </c>
    </row>
    <row r="31" spans="3:16" s="17" customFormat="1" ht="15" customHeight="1">
      <c r="C31" s="18"/>
      <c r="D31" s="20" t="s">
        <v>51</v>
      </c>
      <c r="E31" s="26" t="s">
        <v>19</v>
      </c>
      <c r="F31" s="22" t="s">
        <v>52</v>
      </c>
      <c r="G31" s="23">
        <f t="shared" si="0"/>
        <v>670.79700000000093</v>
      </c>
      <c r="H31" s="27"/>
      <c r="I31" s="27"/>
      <c r="J31" s="46"/>
      <c r="K31" s="27">
        <f>J15+J28-J34-J48</f>
        <v>670.79700000000093</v>
      </c>
      <c r="L31" s="19"/>
      <c r="M31" s="24"/>
      <c r="P31" s="25">
        <v>80</v>
      </c>
    </row>
    <row r="32" spans="3:16" s="17" customFormat="1" ht="15" customHeight="1">
      <c r="C32" s="18"/>
      <c r="D32" s="20" t="s">
        <v>53</v>
      </c>
      <c r="E32" s="26" t="s">
        <v>54</v>
      </c>
      <c r="F32" s="22" t="s">
        <v>55</v>
      </c>
      <c r="G32" s="23">
        <f t="shared" si="0"/>
        <v>0</v>
      </c>
      <c r="H32" s="27"/>
      <c r="I32" s="27"/>
      <c r="J32" s="27"/>
      <c r="K32" s="46"/>
      <c r="L32" s="19"/>
      <c r="M32" s="24"/>
      <c r="P32" s="25">
        <v>90</v>
      </c>
    </row>
    <row r="33" spans="3:16" s="17" customFormat="1" ht="15" customHeight="1">
      <c r="C33" s="18"/>
      <c r="D33" s="20" t="s">
        <v>56</v>
      </c>
      <c r="E33" s="47" t="s">
        <v>57</v>
      </c>
      <c r="F33" s="22" t="s">
        <v>58</v>
      </c>
      <c r="G33" s="23">
        <f t="shared" si="0"/>
        <v>0</v>
      </c>
      <c r="H33" s="27"/>
      <c r="I33" s="27"/>
      <c r="J33" s="27"/>
      <c r="K33" s="27"/>
      <c r="L33" s="19"/>
      <c r="M33" s="24"/>
      <c r="P33" s="25"/>
    </row>
    <row r="34" spans="3:16" s="17" customFormat="1" ht="15" customHeight="1">
      <c r="C34" s="18"/>
      <c r="D34" s="20" t="s">
        <v>59</v>
      </c>
      <c r="E34" s="21" t="s">
        <v>60</v>
      </c>
      <c r="F34" s="48" t="s">
        <v>61</v>
      </c>
      <c r="G34" s="23">
        <f t="shared" si="0"/>
        <v>5362.6919999999991</v>
      </c>
      <c r="H34" s="23">
        <f>H35+H37+H40+H44</f>
        <v>0</v>
      </c>
      <c r="I34" s="23">
        <f>I35+I37+I40+I44</f>
        <v>4545.3539999999994</v>
      </c>
      <c r="J34" s="23">
        <f>J35+J37+J40+J44</f>
        <v>264.25400000000002</v>
      </c>
      <c r="K34" s="23">
        <f>K35+K37+K40+K44</f>
        <v>553.08400000000006</v>
      </c>
      <c r="L34" s="19"/>
      <c r="M34" s="24"/>
      <c r="P34" s="25">
        <v>100</v>
      </c>
    </row>
    <row r="35" spans="3:16" s="17" customFormat="1" ht="22.5">
      <c r="C35" s="18"/>
      <c r="D35" s="20" t="s">
        <v>62</v>
      </c>
      <c r="E35" s="26" t="s">
        <v>63</v>
      </c>
      <c r="F35" s="22" t="s">
        <v>64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65</v>
      </c>
      <c r="E36" s="49" t="s">
        <v>66</v>
      </c>
      <c r="F36" s="22" t="s">
        <v>67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>
      <c r="C37" s="18"/>
      <c r="D37" s="20" t="s">
        <v>68</v>
      </c>
      <c r="E37" s="26" t="s">
        <v>69</v>
      </c>
      <c r="F37" s="22" t="s">
        <v>70</v>
      </c>
      <c r="G37" s="23">
        <f t="shared" si="0"/>
        <v>1591.7169999999999</v>
      </c>
      <c r="H37" s="27"/>
      <c r="I37" s="27">
        <v>774.37899999999991</v>
      </c>
      <c r="J37" s="27">
        <v>264.25400000000002</v>
      </c>
      <c r="K37" s="27">
        <v>553.08400000000006</v>
      </c>
      <c r="L37" s="19"/>
      <c r="M37" s="24"/>
      <c r="P37" s="25"/>
    </row>
    <row r="38" spans="3:16" s="17" customFormat="1" ht="15" customHeight="1">
      <c r="C38" s="18"/>
      <c r="D38" s="20" t="s">
        <v>71</v>
      </c>
      <c r="E38" s="49" t="s">
        <v>72</v>
      </c>
      <c r="F38" s="22" t="s">
        <v>73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74</v>
      </c>
      <c r="E39" s="50" t="s">
        <v>66</v>
      </c>
      <c r="F39" s="22" t="s">
        <v>75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>
      <c r="C40" s="18"/>
      <c r="D40" s="20" t="s">
        <v>76</v>
      </c>
      <c r="E40" s="26" t="s">
        <v>77</v>
      </c>
      <c r="F40" s="22" t="s">
        <v>78</v>
      </c>
      <c r="G40" s="23">
        <f t="shared" si="0"/>
        <v>3770.9749999999999</v>
      </c>
      <c r="H40" s="23">
        <f>SUM(H41:H43)</f>
        <v>0</v>
      </c>
      <c r="I40" s="23">
        <f>SUM(I41:I43)</f>
        <v>3770.9749999999999</v>
      </c>
      <c r="J40" s="23">
        <f>SUM(J41:J43)</f>
        <v>0</v>
      </c>
      <c r="K40" s="23">
        <f>SUM(K41:K43)</f>
        <v>0</v>
      </c>
      <c r="L40" s="19"/>
      <c r="M40" s="24"/>
      <c r="P40" s="25"/>
    </row>
    <row r="41" spans="3:16" s="17" customFormat="1" ht="12.75" hidden="1">
      <c r="C41" s="18"/>
      <c r="D41" s="28" t="s">
        <v>79</v>
      </c>
      <c r="E41" s="29"/>
      <c r="F41" s="30" t="s">
        <v>78</v>
      </c>
      <c r="G41" s="31"/>
      <c r="H41" s="31"/>
      <c r="I41" s="31"/>
      <c r="J41" s="31"/>
      <c r="K41" s="31"/>
      <c r="L41" s="19"/>
      <c r="M41" s="24"/>
      <c r="P41" s="25"/>
    </row>
    <row r="42" spans="3:16" s="17" customFormat="1" ht="15" customHeight="1">
      <c r="C42" s="32" t="s">
        <v>30</v>
      </c>
      <c r="D42" s="33" t="s">
        <v>80</v>
      </c>
      <c r="E42" s="34" t="s">
        <v>81</v>
      </c>
      <c r="F42" s="35">
        <v>751</v>
      </c>
      <c r="G42" s="36">
        <f>SUM(H42:K42)</f>
        <v>3770.9749999999999</v>
      </c>
      <c r="H42" s="37"/>
      <c r="I42" s="37">
        <v>3770.9749999999999</v>
      </c>
      <c r="J42" s="37"/>
      <c r="K42" s="38"/>
      <c r="L42" s="19"/>
      <c r="M42" s="39"/>
      <c r="N42" s="40"/>
      <c r="O42" s="40"/>
    </row>
    <row r="43" spans="3:16" s="17" customFormat="1" ht="15" customHeight="1">
      <c r="C43" s="18"/>
      <c r="D43" s="51"/>
      <c r="E43" s="42" t="s">
        <v>33</v>
      </c>
      <c r="F43" s="43"/>
      <c r="G43" s="43"/>
      <c r="H43" s="43"/>
      <c r="I43" s="43"/>
      <c r="J43" s="43"/>
      <c r="K43" s="44"/>
      <c r="L43" s="19"/>
      <c r="M43" s="24"/>
      <c r="P43" s="25"/>
    </row>
    <row r="44" spans="3:16" s="17" customFormat="1" ht="15" customHeight="1">
      <c r="C44" s="18"/>
      <c r="D44" s="20" t="s">
        <v>82</v>
      </c>
      <c r="E44" s="52" t="s">
        <v>83</v>
      </c>
      <c r="F44" s="22" t="s">
        <v>84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120</v>
      </c>
    </row>
    <row r="45" spans="3:16" s="17" customFormat="1" ht="15" customHeight="1">
      <c r="C45" s="18"/>
      <c r="D45" s="20" t="s">
        <v>85</v>
      </c>
      <c r="E45" s="21" t="s">
        <v>86</v>
      </c>
      <c r="F45" s="22" t="s">
        <v>87</v>
      </c>
      <c r="G45" s="23">
        <f t="shared" si="0"/>
        <v>1603.8730000000019</v>
      </c>
      <c r="H45" s="27"/>
      <c r="I45" s="27">
        <f>I15-I34-I48</f>
        <v>933.07600000000093</v>
      </c>
      <c r="J45" s="27">
        <f>J19+J30-J37-J48</f>
        <v>670.79700000000093</v>
      </c>
      <c r="K45" s="27"/>
      <c r="L45" s="19"/>
      <c r="M45" s="24"/>
      <c r="P45" s="25">
        <v>150</v>
      </c>
    </row>
    <row r="46" spans="3:16" s="17" customFormat="1" ht="15" customHeight="1">
      <c r="C46" s="18"/>
      <c r="D46" s="20" t="s">
        <v>88</v>
      </c>
      <c r="E46" s="21" t="s">
        <v>89</v>
      </c>
      <c r="F46" s="22" t="s">
        <v>90</v>
      </c>
      <c r="G46" s="23">
        <f t="shared" si="0"/>
        <v>0</v>
      </c>
      <c r="H46" s="27"/>
      <c r="I46" s="27"/>
      <c r="J46" s="27"/>
      <c r="K46" s="27"/>
      <c r="L46" s="19"/>
      <c r="M46" s="24"/>
      <c r="P46" s="25">
        <v>160</v>
      </c>
    </row>
    <row r="47" spans="3:16" s="17" customFormat="1" ht="15" customHeight="1">
      <c r="C47" s="18"/>
      <c r="D47" s="20" t="s">
        <v>91</v>
      </c>
      <c r="E47" s="21" t="s">
        <v>92</v>
      </c>
      <c r="F47" s="22" t="s">
        <v>93</v>
      </c>
      <c r="G47" s="23">
        <f t="shared" si="0"/>
        <v>0</v>
      </c>
      <c r="H47" s="27"/>
      <c r="I47" s="27"/>
      <c r="J47" s="27"/>
      <c r="K47" s="27"/>
      <c r="L47" s="19"/>
      <c r="M47" s="24"/>
      <c r="P47" s="25">
        <v>180</v>
      </c>
    </row>
    <row r="48" spans="3:16" s="17" customFormat="1" ht="15" customHeight="1">
      <c r="C48" s="18"/>
      <c r="D48" s="20" t="s">
        <v>94</v>
      </c>
      <c r="E48" s="21" t="s">
        <v>95</v>
      </c>
      <c r="F48" s="22" t="s">
        <v>96</v>
      </c>
      <c r="G48" s="23">
        <f t="shared" si="0"/>
        <v>150.91899999999998</v>
      </c>
      <c r="H48" s="27"/>
      <c r="I48" s="27">
        <v>29.018000000000001</v>
      </c>
      <c r="J48" s="27">
        <v>4.1879999999999997</v>
      </c>
      <c r="K48" s="27">
        <v>117.71299999999999</v>
      </c>
      <c r="L48" s="19"/>
      <c r="M48" s="24"/>
      <c r="P48" s="25">
        <v>190</v>
      </c>
    </row>
    <row r="49" spans="3:16" s="17" customFormat="1" ht="15" customHeight="1">
      <c r="C49" s="18"/>
      <c r="D49" s="20" t="s">
        <v>97</v>
      </c>
      <c r="E49" s="26" t="s">
        <v>98</v>
      </c>
      <c r="F49" s="22" t="s">
        <v>99</v>
      </c>
      <c r="G49" s="23">
        <f t="shared" si="0"/>
        <v>0</v>
      </c>
      <c r="H49" s="27"/>
      <c r="I49" s="27"/>
      <c r="J49" s="27"/>
      <c r="K49" s="27"/>
      <c r="L49" s="19"/>
      <c r="M49" s="24"/>
      <c r="P49" s="25">
        <v>200</v>
      </c>
    </row>
    <row r="50" spans="3:16" s="17" customFormat="1" ht="15" customHeight="1">
      <c r="C50" s="18"/>
      <c r="D50" s="20" t="s">
        <v>100</v>
      </c>
      <c r="E50" s="21" t="s">
        <v>101</v>
      </c>
      <c r="F50" s="22" t="s">
        <v>102</v>
      </c>
      <c r="G50" s="23">
        <f t="shared" si="0"/>
        <v>259.2</v>
      </c>
      <c r="H50" s="27"/>
      <c r="I50" s="27">
        <v>43.900845576910697</v>
      </c>
      <c r="J50" s="27">
        <v>101.46443963883291</v>
      </c>
      <c r="K50" s="27">
        <v>113.83471478425638</v>
      </c>
      <c r="L50" s="19"/>
      <c r="M50" s="24"/>
      <c r="P50" s="45"/>
    </row>
    <row r="51" spans="3:16" s="17" customFormat="1" ht="33.75">
      <c r="C51" s="18"/>
      <c r="D51" s="20" t="s">
        <v>103</v>
      </c>
      <c r="E51" s="47" t="s">
        <v>104</v>
      </c>
      <c r="F51" s="22" t="s">
        <v>105</v>
      </c>
      <c r="G51" s="23">
        <f t="shared" si="0"/>
        <v>-108.28099999999999</v>
      </c>
      <c r="H51" s="23">
        <f>H48-H50</f>
        <v>0</v>
      </c>
      <c r="I51" s="23">
        <f>I48-I50</f>
        <v>-14.882845576910697</v>
      </c>
      <c r="J51" s="23">
        <f>J48-J50</f>
        <v>-97.276439638832912</v>
      </c>
      <c r="K51" s="23">
        <f>K48-K50</f>
        <v>3.8782852157436167</v>
      </c>
      <c r="L51" s="19"/>
      <c r="M51" s="24"/>
      <c r="P51" s="45"/>
    </row>
    <row r="52" spans="3:16" s="17" customFormat="1" ht="15" customHeight="1">
      <c r="C52" s="18"/>
      <c r="D52" s="20" t="s">
        <v>106</v>
      </c>
      <c r="E52" s="21" t="s">
        <v>107</v>
      </c>
      <c r="F52" s="22" t="s">
        <v>108</v>
      </c>
      <c r="G52" s="23">
        <f t="shared" si="0"/>
        <v>9.0949470177292824E-13</v>
      </c>
      <c r="H52" s="23">
        <f>(H15+H28+H33)-(H34+H45+H46+H47+H48)</f>
        <v>0</v>
      </c>
      <c r="I52" s="23">
        <f>(I15+I28+I33)-(I34+I45+I46+I47+I48)</f>
        <v>0</v>
      </c>
      <c r="J52" s="23">
        <f>(J15+J28+J33)-(J34+J45+J46+J47+J48)</f>
        <v>0</v>
      </c>
      <c r="K52" s="23">
        <f>(K15+K28+K33)-(K34+K45+K46+K47+K48)</f>
        <v>9.0949470177292824E-13</v>
      </c>
      <c r="L52" s="19"/>
      <c r="M52" s="24"/>
      <c r="P52" s="25">
        <v>210</v>
      </c>
    </row>
    <row r="53" spans="3:16" s="17" customFormat="1" ht="15" customHeight="1">
      <c r="C53" s="18"/>
      <c r="D53" s="83" t="s">
        <v>109</v>
      </c>
      <c r="E53" s="84"/>
      <c r="F53" s="84"/>
      <c r="G53" s="84"/>
      <c r="H53" s="84"/>
      <c r="I53" s="84"/>
      <c r="J53" s="84"/>
      <c r="K53" s="85"/>
      <c r="L53" s="19"/>
      <c r="M53" s="24"/>
      <c r="P53" s="45"/>
    </row>
    <row r="54" spans="3:16" s="17" customFormat="1" ht="15" customHeight="1">
      <c r="C54" s="18"/>
      <c r="D54" s="20" t="s">
        <v>110</v>
      </c>
      <c r="E54" s="21" t="s">
        <v>23</v>
      </c>
      <c r="F54" s="22" t="s">
        <v>111</v>
      </c>
      <c r="G54" s="23">
        <f t="shared" si="0"/>
        <v>7.4190510752688184</v>
      </c>
      <c r="H54" s="23">
        <f>H55+H56+H60+H63</f>
        <v>0</v>
      </c>
      <c r="I54" s="23">
        <f>I55+I56+I60+I63</f>
        <v>7.4107674731182804</v>
      </c>
      <c r="J54" s="23">
        <f>J55+J56+J60+J63</f>
        <v>8.2836021505376355E-3</v>
      </c>
      <c r="K54" s="23">
        <f>K55+K56+K60+K63</f>
        <v>0</v>
      </c>
      <c r="L54" s="19"/>
      <c r="M54" s="24"/>
      <c r="P54" s="25">
        <v>300</v>
      </c>
    </row>
    <row r="55" spans="3:16" s="17" customFormat="1" ht="15" customHeight="1">
      <c r="C55" s="18"/>
      <c r="D55" s="20" t="s">
        <v>112</v>
      </c>
      <c r="E55" s="26" t="s">
        <v>25</v>
      </c>
      <c r="F55" s="22" t="s">
        <v>113</v>
      </c>
      <c r="G55" s="23">
        <f t="shared" si="0"/>
        <v>0</v>
      </c>
      <c r="H55" s="27"/>
      <c r="I55" s="27"/>
      <c r="J55" s="27"/>
      <c r="K55" s="27"/>
      <c r="L55" s="19"/>
      <c r="M55" s="24"/>
      <c r="P55" s="25">
        <v>310</v>
      </c>
    </row>
    <row r="56" spans="3:16" s="17" customFormat="1" ht="15" customHeight="1">
      <c r="C56" s="18"/>
      <c r="D56" s="20" t="s">
        <v>114</v>
      </c>
      <c r="E56" s="26" t="s">
        <v>27</v>
      </c>
      <c r="F56" s="22" t="s">
        <v>115</v>
      </c>
      <c r="G56" s="23">
        <f t="shared" si="0"/>
        <v>1.6567204301075271E-2</v>
      </c>
      <c r="H56" s="23">
        <f>SUM(H57:H59)</f>
        <v>0</v>
      </c>
      <c r="I56" s="23">
        <f>SUM(I57:I59)</f>
        <v>8.2836021505376355E-3</v>
      </c>
      <c r="J56" s="23">
        <f>SUM(J57:J59)</f>
        <v>8.2836021505376355E-3</v>
      </c>
      <c r="K56" s="23">
        <f>SUM(K57:K59)</f>
        <v>0</v>
      </c>
      <c r="L56" s="19"/>
      <c r="M56" s="24"/>
      <c r="P56" s="25">
        <v>320</v>
      </c>
    </row>
    <row r="57" spans="3:16" s="17" customFormat="1" ht="12.75" hidden="1">
      <c r="C57" s="18"/>
      <c r="D57" s="28" t="s">
        <v>116</v>
      </c>
      <c r="E57" s="29"/>
      <c r="F57" s="30" t="s">
        <v>115</v>
      </c>
      <c r="G57" s="31"/>
      <c r="H57" s="31"/>
      <c r="I57" s="31"/>
      <c r="J57" s="31"/>
      <c r="K57" s="31"/>
      <c r="L57" s="19"/>
      <c r="M57" s="24"/>
      <c r="P57" s="25"/>
    </row>
    <row r="58" spans="3:16" s="17" customFormat="1" ht="15" customHeight="1">
      <c r="C58" s="32" t="s">
        <v>30</v>
      </c>
      <c r="D58" s="33" t="s">
        <v>117</v>
      </c>
      <c r="E58" s="34" t="s">
        <v>32</v>
      </c>
      <c r="F58" s="35">
        <v>1061</v>
      </c>
      <c r="G58" s="36">
        <f>SUM(H58:K58)</f>
        <v>1.6567204301075271E-2</v>
      </c>
      <c r="H58" s="37"/>
      <c r="I58" s="37">
        <f>J19/744</f>
        <v>8.2836021505376355E-3</v>
      </c>
      <c r="J58" s="37">
        <f>J19/744</f>
        <v>8.2836021505376355E-3</v>
      </c>
      <c r="K58" s="37">
        <f>K19/744</f>
        <v>0</v>
      </c>
      <c r="L58" s="19"/>
      <c r="M58" s="39"/>
      <c r="N58" s="40"/>
      <c r="O58" s="40"/>
    </row>
    <row r="59" spans="3:16" s="17" customFormat="1" ht="15" customHeight="1">
      <c r="C59" s="18"/>
      <c r="D59" s="41"/>
      <c r="E59" s="42" t="s">
        <v>33</v>
      </c>
      <c r="F59" s="43"/>
      <c r="G59" s="43"/>
      <c r="H59" s="43"/>
      <c r="I59" s="43"/>
      <c r="J59" s="43"/>
      <c r="K59" s="44"/>
      <c r="L59" s="19"/>
      <c r="M59" s="24"/>
      <c r="P59" s="25"/>
    </row>
    <row r="60" spans="3:16" s="17" customFormat="1" ht="15" customHeight="1">
      <c r="C60" s="18"/>
      <c r="D60" s="20" t="s">
        <v>118</v>
      </c>
      <c r="E60" s="26" t="s">
        <v>35</v>
      </c>
      <c r="F60" s="22" t="s">
        <v>119</v>
      </c>
      <c r="G60" s="23">
        <f t="shared" si="0"/>
        <v>0</v>
      </c>
      <c r="H60" s="23">
        <f>SUM(H61:H62)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19"/>
      <c r="M60" s="24"/>
      <c r="P60" s="25"/>
    </row>
    <row r="61" spans="3:16" s="17" customFormat="1" ht="12.75" hidden="1" customHeight="1">
      <c r="C61" s="18"/>
      <c r="D61" s="28" t="s">
        <v>120</v>
      </c>
      <c r="E61" s="29"/>
      <c r="F61" s="30" t="s">
        <v>119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customHeight="1">
      <c r="C62" s="18"/>
      <c r="D62" s="41"/>
      <c r="E62" s="42" t="s">
        <v>33</v>
      </c>
      <c r="F62" s="43"/>
      <c r="G62" s="43"/>
      <c r="H62" s="43"/>
      <c r="I62" s="43"/>
      <c r="J62" s="43"/>
      <c r="K62" s="44"/>
      <c r="L62" s="19"/>
      <c r="M62" s="24"/>
      <c r="P62" s="25"/>
    </row>
    <row r="63" spans="3:16" s="17" customFormat="1" ht="15" customHeight="1">
      <c r="C63" s="18"/>
      <c r="D63" s="20" t="s">
        <v>121</v>
      </c>
      <c r="E63" s="26" t="s">
        <v>39</v>
      </c>
      <c r="F63" s="22" t="s">
        <v>122</v>
      </c>
      <c r="G63" s="23">
        <f t="shared" si="0"/>
        <v>7.4024838709677425</v>
      </c>
      <c r="H63" s="23">
        <f>SUM(H64:H66)</f>
        <v>0</v>
      </c>
      <c r="I63" s="23">
        <f>SUM(I64:I66)</f>
        <v>7.4024838709677425</v>
      </c>
      <c r="J63" s="23">
        <f>SUM(J64:J66)</f>
        <v>0</v>
      </c>
      <c r="K63" s="23">
        <f>SUM(K64:K66)</f>
        <v>0</v>
      </c>
      <c r="L63" s="19"/>
      <c r="M63" s="24"/>
      <c r="P63" s="25">
        <v>330</v>
      </c>
    </row>
    <row r="64" spans="3:16" s="17" customFormat="1" ht="12.75" hidden="1" customHeight="1">
      <c r="C64" s="18"/>
      <c r="D64" s="28" t="s">
        <v>123</v>
      </c>
      <c r="E64" s="29"/>
      <c r="F64" s="30" t="s">
        <v>122</v>
      </c>
      <c r="G64" s="31"/>
      <c r="H64" s="31"/>
      <c r="I64" s="31"/>
      <c r="J64" s="31"/>
      <c r="K64" s="31"/>
      <c r="L64" s="19"/>
      <c r="M64" s="24"/>
      <c r="P64" s="25"/>
    </row>
    <row r="65" spans="3:16" s="17" customFormat="1" ht="15" customHeight="1">
      <c r="C65" s="32" t="s">
        <v>30</v>
      </c>
      <c r="D65" s="33" t="s">
        <v>124</v>
      </c>
      <c r="E65" s="34" t="s">
        <v>43</v>
      </c>
      <c r="F65" s="35">
        <v>1461</v>
      </c>
      <c r="G65" s="36">
        <f>SUM(H65:K65)</f>
        <v>7.4024838709677425</v>
      </c>
      <c r="H65" s="37"/>
      <c r="I65" s="37">
        <f>I26/744</f>
        <v>7.4024838709677425</v>
      </c>
      <c r="J65" s="37">
        <f>J26/744</f>
        <v>0</v>
      </c>
      <c r="K65" s="37">
        <f>K26/744</f>
        <v>0</v>
      </c>
      <c r="L65" s="19"/>
      <c r="M65" s="39"/>
      <c r="N65" s="40"/>
      <c r="O65" s="40"/>
    </row>
    <row r="66" spans="3:16" s="17" customFormat="1" ht="15" customHeight="1">
      <c r="C66" s="18"/>
      <c r="D66" s="41"/>
      <c r="E66" s="42" t="s">
        <v>33</v>
      </c>
      <c r="F66" s="43"/>
      <c r="G66" s="43"/>
      <c r="H66" s="43"/>
      <c r="I66" s="43"/>
      <c r="J66" s="43"/>
      <c r="K66" s="44"/>
      <c r="L66" s="19"/>
      <c r="M66" s="24"/>
      <c r="P66" s="25"/>
    </row>
    <row r="67" spans="3:16" s="17" customFormat="1" ht="15" customHeight="1">
      <c r="C67" s="18"/>
      <c r="D67" s="20" t="s">
        <v>125</v>
      </c>
      <c r="E67" s="21" t="s">
        <v>45</v>
      </c>
      <c r="F67" s="22" t="s">
        <v>126</v>
      </c>
      <c r="G67" s="23">
        <f t="shared" si="0"/>
        <v>2.155743279569895</v>
      </c>
      <c r="H67" s="23">
        <f>H69+H70+H71</f>
        <v>0</v>
      </c>
      <c r="I67" s="23">
        <f>I68+I70+I71</f>
        <v>0</v>
      </c>
      <c r="J67" s="23">
        <f>J68+J69+J71</f>
        <v>1.2541344086021518</v>
      </c>
      <c r="K67" s="23">
        <f>K68+K69+K70</f>
        <v>0.90160887096774323</v>
      </c>
      <c r="L67" s="19"/>
      <c r="M67" s="24"/>
      <c r="P67" s="25">
        <v>340</v>
      </c>
    </row>
    <row r="68" spans="3:16" s="17" customFormat="1" ht="15" customHeight="1">
      <c r="C68" s="18"/>
      <c r="D68" s="20" t="s">
        <v>127</v>
      </c>
      <c r="E68" s="26" t="s">
        <v>17</v>
      </c>
      <c r="F68" s="22" t="s">
        <v>128</v>
      </c>
      <c r="G68" s="23">
        <f t="shared" si="0"/>
        <v>0</v>
      </c>
      <c r="H68" s="46"/>
      <c r="I68" s="27"/>
      <c r="J68" s="27"/>
      <c r="K68" s="27"/>
      <c r="L68" s="19"/>
      <c r="M68" s="24"/>
      <c r="P68" s="25">
        <v>350</v>
      </c>
    </row>
    <row r="69" spans="3:16" s="17" customFormat="1" ht="15" customHeight="1">
      <c r="C69" s="18"/>
      <c r="D69" s="20" t="s">
        <v>129</v>
      </c>
      <c r="E69" s="26" t="s">
        <v>18</v>
      </c>
      <c r="F69" s="22" t="s">
        <v>130</v>
      </c>
      <c r="G69" s="23">
        <f t="shared" si="0"/>
        <v>1.2541344086021518</v>
      </c>
      <c r="H69" s="27"/>
      <c r="I69" s="53"/>
      <c r="J69" s="27">
        <f>J30/744</f>
        <v>1.2541344086021518</v>
      </c>
      <c r="K69" s="27">
        <f>K30/744</f>
        <v>0</v>
      </c>
      <c r="L69" s="19"/>
      <c r="M69" s="24"/>
      <c r="P69" s="25">
        <v>360</v>
      </c>
    </row>
    <row r="70" spans="3:16" s="17" customFormat="1" ht="15" customHeight="1">
      <c r="C70" s="18"/>
      <c r="D70" s="20" t="s">
        <v>131</v>
      </c>
      <c r="E70" s="26" t="s">
        <v>19</v>
      </c>
      <c r="F70" s="22" t="s">
        <v>132</v>
      </c>
      <c r="G70" s="23">
        <f t="shared" si="0"/>
        <v>0.90160887096774323</v>
      </c>
      <c r="H70" s="27"/>
      <c r="I70" s="27"/>
      <c r="J70" s="46"/>
      <c r="K70" s="27">
        <f>K31/744</f>
        <v>0.90160887096774323</v>
      </c>
      <c r="L70" s="19"/>
      <c r="M70" s="24"/>
      <c r="P70" s="25">
        <v>370</v>
      </c>
    </row>
    <row r="71" spans="3:16" s="17" customFormat="1" ht="15" customHeight="1">
      <c r="C71" s="18"/>
      <c r="D71" s="20" t="s">
        <v>133</v>
      </c>
      <c r="E71" s="26" t="s">
        <v>54</v>
      </c>
      <c r="F71" s="22" t="s">
        <v>134</v>
      </c>
      <c r="G71" s="23">
        <f t="shared" si="0"/>
        <v>0</v>
      </c>
      <c r="H71" s="27"/>
      <c r="I71" s="27"/>
      <c r="J71" s="27"/>
      <c r="K71" s="46"/>
      <c r="L71" s="19"/>
      <c r="M71" s="24"/>
      <c r="P71" s="25">
        <v>380</v>
      </c>
    </row>
    <row r="72" spans="3:16" s="17" customFormat="1" ht="15" customHeight="1">
      <c r="C72" s="18"/>
      <c r="D72" s="20" t="s">
        <v>135</v>
      </c>
      <c r="E72" s="47" t="s">
        <v>57</v>
      </c>
      <c r="F72" s="22" t="s">
        <v>136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137</v>
      </c>
      <c r="E73" s="21" t="s">
        <v>60</v>
      </c>
      <c r="F73" s="48" t="s">
        <v>138</v>
      </c>
      <c r="G73" s="23">
        <f t="shared" si="0"/>
        <v>6.1670873655913976</v>
      </c>
      <c r="H73" s="23">
        <f>H74+H76+H79+H83</f>
        <v>0</v>
      </c>
      <c r="I73" s="23">
        <f>I74+J77+I79+I83</f>
        <v>5.0685147849462364</v>
      </c>
      <c r="J73" s="23">
        <f>J74+J76+J79+J83</f>
        <v>0.35518010752688173</v>
      </c>
      <c r="K73" s="23">
        <f>K74+K76+K79+K83</f>
        <v>0.74339247311827961</v>
      </c>
      <c r="L73" s="19"/>
      <c r="M73" s="24"/>
      <c r="P73" s="25">
        <v>390</v>
      </c>
    </row>
    <row r="74" spans="3:16" s="17" customFormat="1" ht="22.5">
      <c r="C74" s="18"/>
      <c r="D74" s="20" t="s">
        <v>139</v>
      </c>
      <c r="E74" s="26" t="s">
        <v>63</v>
      </c>
      <c r="F74" s="22" t="s">
        <v>140</v>
      </c>
      <c r="G74" s="23">
        <f t="shared" si="0"/>
        <v>0</v>
      </c>
      <c r="H74" s="27"/>
      <c r="I74" s="27"/>
      <c r="J74" s="27"/>
      <c r="K74" s="27"/>
      <c r="L74" s="19"/>
      <c r="M74" s="24"/>
      <c r="P74" s="25"/>
    </row>
    <row r="75" spans="3:16" s="17" customFormat="1" ht="15" customHeight="1">
      <c r="C75" s="18"/>
      <c r="D75" s="20" t="s">
        <v>141</v>
      </c>
      <c r="E75" s="49" t="s">
        <v>66</v>
      </c>
      <c r="F75" s="22" t="s">
        <v>142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143</v>
      </c>
      <c r="E76" s="26" t="s">
        <v>69</v>
      </c>
      <c r="F76" s="22" t="s">
        <v>144</v>
      </c>
      <c r="G76" s="23">
        <f t="shared" si="0"/>
        <v>2.1394045698924731</v>
      </c>
      <c r="H76" s="27"/>
      <c r="I76" s="27">
        <f>I37/744</f>
        <v>1.0408319892473117</v>
      </c>
      <c r="J76" s="27">
        <f>J37/744</f>
        <v>0.35518010752688173</v>
      </c>
      <c r="K76" s="27">
        <f>K37/744</f>
        <v>0.74339247311827961</v>
      </c>
      <c r="L76" s="19"/>
      <c r="M76" s="24"/>
      <c r="P76" s="25"/>
    </row>
    <row r="77" spans="3:16" s="17" customFormat="1" ht="15" customHeight="1">
      <c r="C77" s="18"/>
      <c r="D77" s="20" t="s">
        <v>145</v>
      </c>
      <c r="E77" s="49" t="s">
        <v>72</v>
      </c>
      <c r="F77" s="22" t="s">
        <v>146</v>
      </c>
      <c r="G77" s="23">
        <f t="shared" si="0"/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>
      <c r="C78" s="18"/>
      <c r="D78" s="20" t="s">
        <v>147</v>
      </c>
      <c r="E78" s="50" t="s">
        <v>66</v>
      </c>
      <c r="F78" s="22" t="s">
        <v>148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>
      <c r="C79" s="18"/>
      <c r="D79" s="20" t="s">
        <v>149</v>
      </c>
      <c r="E79" s="26" t="s">
        <v>77</v>
      </c>
      <c r="F79" s="22" t="s">
        <v>150</v>
      </c>
      <c r="G79" s="23">
        <f t="shared" si="0"/>
        <v>5.0685147849462364</v>
      </c>
      <c r="H79" s="23">
        <f>SUM(H80:H82)</f>
        <v>0</v>
      </c>
      <c r="I79" s="23">
        <f>SUM(I80:I82)</f>
        <v>5.0685147849462364</v>
      </c>
      <c r="J79" s="23">
        <f>SUM(J80:J82)</f>
        <v>0</v>
      </c>
      <c r="K79" s="23">
        <f>SUM(K80:K82)</f>
        <v>0</v>
      </c>
      <c r="L79" s="19"/>
      <c r="M79" s="24"/>
      <c r="P79" s="25"/>
    </row>
    <row r="80" spans="3:16" s="17" customFormat="1" ht="12.75" hidden="1" customHeight="1">
      <c r="C80" s="18"/>
      <c r="D80" s="28" t="s">
        <v>151</v>
      </c>
      <c r="E80" s="29"/>
      <c r="F80" s="30" t="s">
        <v>150</v>
      </c>
      <c r="G80" s="31"/>
      <c r="H80" s="31"/>
      <c r="I80" s="31"/>
      <c r="J80" s="31"/>
      <c r="K80" s="31"/>
      <c r="L80" s="19"/>
      <c r="M80" s="24"/>
      <c r="P80" s="25"/>
    </row>
    <row r="81" spans="3:16" s="17" customFormat="1" ht="15" customHeight="1">
      <c r="C81" s="32" t="s">
        <v>30</v>
      </c>
      <c r="D81" s="33" t="s">
        <v>152</v>
      </c>
      <c r="E81" s="34" t="s">
        <v>81</v>
      </c>
      <c r="F81" s="35">
        <v>1781</v>
      </c>
      <c r="G81" s="36">
        <f>SUM(H81:K81)</f>
        <v>5.0685147849462364</v>
      </c>
      <c r="H81" s="37"/>
      <c r="I81" s="37">
        <f>I42/744</f>
        <v>5.0685147849462364</v>
      </c>
      <c r="J81" s="37">
        <f>J42/744</f>
        <v>0</v>
      </c>
      <c r="K81" s="37">
        <f>K42/744</f>
        <v>0</v>
      </c>
      <c r="L81" s="19"/>
      <c r="M81" s="39"/>
      <c r="N81" s="40"/>
      <c r="O81" s="40"/>
    </row>
    <row r="82" spans="3:16" s="17" customFormat="1" ht="15" customHeight="1">
      <c r="C82" s="18"/>
      <c r="D82" s="41"/>
      <c r="E82" s="42" t="s">
        <v>33</v>
      </c>
      <c r="F82" s="43"/>
      <c r="G82" s="43"/>
      <c r="H82" s="43"/>
      <c r="I82" s="43"/>
      <c r="J82" s="43"/>
      <c r="K82" s="44"/>
      <c r="L82" s="19"/>
      <c r="M82" s="24"/>
      <c r="P82" s="25"/>
    </row>
    <row r="83" spans="3:16" s="17" customFormat="1" ht="15" customHeight="1">
      <c r="C83" s="18"/>
      <c r="D83" s="20" t="s">
        <v>153</v>
      </c>
      <c r="E83" s="52" t="s">
        <v>83</v>
      </c>
      <c r="F83" s="22" t="s">
        <v>154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>
        <v>410</v>
      </c>
    </row>
    <row r="84" spans="3:16" s="17" customFormat="1" ht="15" customHeight="1">
      <c r="C84" s="18"/>
      <c r="D84" s="20" t="s">
        <v>155</v>
      </c>
      <c r="E84" s="21" t="s">
        <v>86</v>
      </c>
      <c r="F84" s="22" t="s">
        <v>156</v>
      </c>
      <c r="G84" s="23">
        <f t="shared" si="0"/>
        <v>2.155743279569895</v>
      </c>
      <c r="H84" s="27"/>
      <c r="I84" s="27">
        <f>I45/744</f>
        <v>1.2541344086021518</v>
      </c>
      <c r="J84" s="27">
        <f>J45/744</f>
        <v>0.90160887096774323</v>
      </c>
      <c r="K84" s="27">
        <f>K45/744</f>
        <v>0</v>
      </c>
      <c r="L84" s="19"/>
      <c r="M84" s="24"/>
      <c r="P84" s="25">
        <v>440</v>
      </c>
    </row>
    <row r="85" spans="3:16" s="17" customFormat="1" ht="15" customHeight="1">
      <c r="C85" s="18"/>
      <c r="D85" s="20" t="s">
        <v>157</v>
      </c>
      <c r="E85" s="21" t="s">
        <v>89</v>
      </c>
      <c r="F85" s="22" t="s">
        <v>158</v>
      </c>
      <c r="G85" s="23">
        <f t="shared" si="0"/>
        <v>0</v>
      </c>
      <c r="H85" s="27"/>
      <c r="I85" s="27"/>
      <c r="J85" s="27"/>
      <c r="K85" s="27"/>
      <c r="L85" s="19"/>
      <c r="M85" s="24"/>
      <c r="P85" s="25">
        <v>450</v>
      </c>
    </row>
    <row r="86" spans="3:16" s="17" customFormat="1" ht="15" customHeight="1">
      <c r="C86" s="18"/>
      <c r="D86" s="20" t="s">
        <v>159</v>
      </c>
      <c r="E86" s="21" t="s">
        <v>92</v>
      </c>
      <c r="F86" s="22" t="s">
        <v>160</v>
      </c>
      <c r="G86" s="23">
        <f t="shared" si="0"/>
        <v>0</v>
      </c>
      <c r="H86" s="27"/>
      <c r="I86" s="27"/>
      <c r="J86" s="27"/>
      <c r="K86" s="27"/>
      <c r="L86" s="19"/>
      <c r="M86" s="24"/>
      <c r="P86" s="25">
        <v>470</v>
      </c>
    </row>
    <row r="87" spans="3:16" s="17" customFormat="1" ht="15" customHeight="1">
      <c r="C87" s="18"/>
      <c r="D87" s="20" t="s">
        <v>161</v>
      </c>
      <c r="E87" s="21" t="s">
        <v>95</v>
      </c>
      <c r="F87" s="22" t="s">
        <v>162</v>
      </c>
      <c r="G87" s="23">
        <f t="shared" si="0"/>
        <v>0.20284811827956989</v>
      </c>
      <c r="H87" s="27"/>
      <c r="I87" s="27">
        <f>I48/744</f>
        <v>3.9002688172043012E-2</v>
      </c>
      <c r="J87" s="27">
        <f>J48/744</f>
        <v>5.6290322580645159E-3</v>
      </c>
      <c r="K87" s="27">
        <f>K48/744</f>
        <v>0.15821639784946237</v>
      </c>
      <c r="L87" s="19"/>
      <c r="M87" s="24"/>
      <c r="P87" s="25">
        <v>480</v>
      </c>
    </row>
    <row r="88" spans="3:16" s="17" customFormat="1" ht="15" customHeight="1">
      <c r="C88" s="18"/>
      <c r="D88" s="20" t="s">
        <v>163</v>
      </c>
      <c r="E88" s="26" t="s">
        <v>164</v>
      </c>
      <c r="F88" s="22" t="s">
        <v>165</v>
      </c>
      <c r="G88" s="23">
        <f t="shared" si="0"/>
        <v>0</v>
      </c>
      <c r="H88" s="27"/>
      <c r="I88" s="27"/>
      <c r="J88" s="27"/>
      <c r="K88" s="27"/>
      <c r="L88" s="19"/>
      <c r="M88" s="24"/>
      <c r="P88" s="25">
        <v>490</v>
      </c>
    </row>
    <row r="89" spans="3:16" s="17" customFormat="1" ht="15" customHeight="1">
      <c r="C89" s="18"/>
      <c r="D89" s="20" t="s">
        <v>166</v>
      </c>
      <c r="E89" s="21" t="s">
        <v>101</v>
      </c>
      <c r="F89" s="22" t="s">
        <v>167</v>
      </c>
      <c r="G89" s="23">
        <f t="shared" si="0"/>
        <v>0.34838709677419355</v>
      </c>
      <c r="H89" s="27"/>
      <c r="I89" s="27">
        <f>I50/744</f>
        <v>5.9006512872191795E-2</v>
      </c>
      <c r="J89" s="27">
        <f>J50/744</f>
        <v>0.13637693499843134</v>
      </c>
      <c r="K89" s="27">
        <f>K50/744</f>
        <v>0.15300364890357041</v>
      </c>
      <c r="L89" s="19"/>
      <c r="M89" s="24"/>
      <c r="P89" s="25"/>
    </row>
    <row r="90" spans="3:16" s="17" customFormat="1" ht="33.75">
      <c r="C90" s="18"/>
      <c r="D90" s="20" t="s">
        <v>168</v>
      </c>
      <c r="E90" s="47" t="s">
        <v>104</v>
      </c>
      <c r="F90" s="22" t="s">
        <v>169</v>
      </c>
      <c r="G90" s="23">
        <f t="shared" si="0"/>
        <v>-0.14553897849462363</v>
      </c>
      <c r="H90" s="23">
        <f>H87-H89</f>
        <v>0</v>
      </c>
      <c r="I90" s="23">
        <f>I87-I89</f>
        <v>-2.0003824700148783E-2</v>
      </c>
      <c r="J90" s="23">
        <f>J87-J89</f>
        <v>-0.13074790274036682</v>
      </c>
      <c r="K90" s="23">
        <f>K87-K89</f>
        <v>5.2127489458919651E-3</v>
      </c>
      <c r="L90" s="19"/>
      <c r="M90" s="24"/>
      <c r="P90" s="25"/>
    </row>
    <row r="91" spans="3:16" s="17" customFormat="1" ht="15" customHeight="1">
      <c r="C91" s="18"/>
      <c r="D91" s="20" t="s">
        <v>170</v>
      </c>
      <c r="E91" s="21" t="s">
        <v>107</v>
      </c>
      <c r="F91" s="22" t="s">
        <v>171</v>
      </c>
      <c r="G91" s="23">
        <f t="shared" si="0"/>
        <v>1.0491155913978507</v>
      </c>
      <c r="H91" s="23">
        <f>(H54+H67+H72)-(H73+H84+H85+H86+H87)</f>
        <v>0</v>
      </c>
      <c r="I91" s="23">
        <f>(I54+I67+I72)-(I73+I84+I85+I86+I87)</f>
        <v>1.0491155913978494</v>
      </c>
      <c r="J91" s="23">
        <f>(J54+J67+J72)-(J73+J84+J85+J86+J87)</f>
        <v>0</v>
      </c>
      <c r="K91" s="23">
        <f>(K54+K67+K72)-(K73+K84+K85+K86+K87)</f>
        <v>1.2212453270876722E-15</v>
      </c>
      <c r="L91" s="19"/>
      <c r="M91" s="24"/>
      <c r="P91" s="25">
        <v>500</v>
      </c>
    </row>
    <row r="92" spans="3:16" s="17" customFormat="1" ht="15" customHeight="1">
      <c r="C92" s="18"/>
      <c r="D92" s="83" t="s">
        <v>172</v>
      </c>
      <c r="E92" s="84"/>
      <c r="F92" s="84"/>
      <c r="G92" s="84"/>
      <c r="H92" s="84"/>
      <c r="I92" s="84"/>
      <c r="J92" s="84"/>
      <c r="K92" s="85"/>
      <c r="L92" s="19"/>
      <c r="M92" s="24"/>
      <c r="P92" s="45"/>
    </row>
    <row r="93" spans="3:16" s="17" customFormat="1" ht="15" customHeight="1">
      <c r="C93" s="18"/>
      <c r="D93" s="20" t="s">
        <v>173</v>
      </c>
      <c r="E93" s="21" t="s">
        <v>174</v>
      </c>
      <c r="F93" s="22" t="s">
        <v>175</v>
      </c>
      <c r="G93" s="23">
        <f t="shared" si="0"/>
        <v>0</v>
      </c>
      <c r="H93" s="27"/>
      <c r="I93" s="27"/>
      <c r="J93" s="27"/>
      <c r="K93" s="27"/>
      <c r="L93" s="19"/>
      <c r="M93" s="24"/>
      <c r="P93" s="25">
        <v>600</v>
      </c>
    </row>
    <row r="94" spans="3:16" s="17" customFormat="1" ht="15" customHeight="1">
      <c r="C94" s="18"/>
      <c r="D94" s="20" t="s">
        <v>176</v>
      </c>
      <c r="E94" s="21" t="s">
        <v>177</v>
      </c>
      <c r="F94" s="22" t="s">
        <v>178</v>
      </c>
      <c r="G94" s="23">
        <f t="shared" si="0"/>
        <v>10.55</v>
      </c>
      <c r="H94" s="27"/>
      <c r="I94" s="27">
        <v>10.55</v>
      </c>
      <c r="J94" s="27"/>
      <c r="K94" s="27"/>
      <c r="L94" s="19"/>
      <c r="M94" s="24"/>
      <c r="P94" s="25">
        <v>610</v>
      </c>
    </row>
    <row r="95" spans="3:16" s="17" customFormat="1" ht="15" customHeight="1">
      <c r="C95" s="18"/>
      <c r="D95" s="20" t="s">
        <v>179</v>
      </c>
      <c r="E95" s="21" t="s">
        <v>180</v>
      </c>
      <c r="F95" s="22" t="s">
        <v>181</v>
      </c>
      <c r="G95" s="23">
        <f t="shared" si="0"/>
        <v>0</v>
      </c>
      <c r="H95" s="27"/>
      <c r="I95" s="27"/>
      <c r="J95" s="27"/>
      <c r="K95" s="27"/>
      <c r="L95" s="19"/>
      <c r="M95" s="24"/>
      <c r="P95" s="25">
        <v>620</v>
      </c>
    </row>
    <row r="96" spans="3:16" s="17" customFormat="1" ht="15" customHeight="1">
      <c r="C96" s="18"/>
      <c r="D96" s="83" t="s">
        <v>182</v>
      </c>
      <c r="E96" s="84"/>
      <c r="F96" s="84"/>
      <c r="G96" s="84"/>
      <c r="H96" s="84"/>
      <c r="I96" s="84"/>
      <c r="J96" s="84"/>
      <c r="K96" s="85"/>
      <c r="L96" s="19"/>
      <c r="M96" s="24"/>
      <c r="P96" s="45"/>
    </row>
    <row r="97" spans="3:16" s="17" customFormat="1" ht="15" customHeight="1">
      <c r="C97" s="18"/>
      <c r="D97" s="20" t="s">
        <v>183</v>
      </c>
      <c r="E97" s="21" t="s">
        <v>184</v>
      </c>
      <c r="F97" s="22" t="s">
        <v>185</v>
      </c>
      <c r="G97" s="23">
        <f t="shared" si="0"/>
        <v>0</v>
      </c>
      <c r="H97" s="23">
        <f>SUM(H98:H99)</f>
        <v>0</v>
      </c>
      <c r="I97" s="23">
        <f>SUM(I98:I99)</f>
        <v>0</v>
      </c>
      <c r="J97" s="23">
        <f>SUM(J98:J99)</f>
        <v>0</v>
      </c>
      <c r="K97" s="23">
        <f>SUM(K98:K99)</f>
        <v>0</v>
      </c>
      <c r="L97" s="19"/>
      <c r="M97" s="24"/>
      <c r="P97" s="25">
        <v>700</v>
      </c>
    </row>
    <row r="98" spans="3:16" ht="15" customHeight="1">
      <c r="C98" s="6"/>
      <c r="D98" s="54" t="s">
        <v>186</v>
      </c>
      <c r="E98" s="26" t="s">
        <v>187</v>
      </c>
      <c r="F98" s="22" t="s">
        <v>188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710</v>
      </c>
    </row>
    <row r="99" spans="3:16" ht="15" customHeight="1">
      <c r="C99" s="6"/>
      <c r="D99" s="54" t="s">
        <v>189</v>
      </c>
      <c r="E99" s="26" t="s">
        <v>190</v>
      </c>
      <c r="F99" s="22" t="s">
        <v>191</v>
      </c>
      <c r="G99" s="23">
        <f t="shared" si="0"/>
        <v>0</v>
      </c>
      <c r="H99" s="56">
        <f>H102</f>
        <v>0</v>
      </c>
      <c r="I99" s="56">
        <f>I102</f>
        <v>0</v>
      </c>
      <c r="J99" s="56">
        <f>J102</f>
        <v>0</v>
      </c>
      <c r="K99" s="56">
        <f>K102</f>
        <v>0</v>
      </c>
      <c r="L99" s="13"/>
      <c r="M99" s="24"/>
      <c r="P99" s="25">
        <v>720</v>
      </c>
    </row>
    <row r="100" spans="3:16" ht="15" customHeight="1">
      <c r="C100" s="6"/>
      <c r="D100" s="54" t="s">
        <v>192</v>
      </c>
      <c r="E100" s="49" t="s">
        <v>193</v>
      </c>
      <c r="F100" s="22" t="s">
        <v>194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>
        <v>730</v>
      </c>
    </row>
    <row r="101" spans="3:16" ht="15" customHeight="1">
      <c r="C101" s="6"/>
      <c r="D101" s="54" t="s">
        <v>195</v>
      </c>
      <c r="E101" s="50" t="s">
        <v>196</v>
      </c>
      <c r="F101" s="22" t="s">
        <v>197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5" customHeight="1">
      <c r="C102" s="6"/>
      <c r="D102" s="54" t="s">
        <v>198</v>
      </c>
      <c r="E102" s="49" t="s">
        <v>199</v>
      </c>
      <c r="F102" s="22" t="s">
        <v>200</v>
      </c>
      <c r="G102" s="23">
        <f t="shared" si="0"/>
        <v>0</v>
      </c>
      <c r="H102" s="55"/>
      <c r="I102" s="55"/>
      <c r="J102" s="55"/>
      <c r="K102" s="55"/>
      <c r="L102" s="13"/>
      <c r="M102" s="24"/>
      <c r="P102" s="25">
        <v>740</v>
      </c>
    </row>
    <row r="103" spans="3:16" ht="15" customHeight="1">
      <c r="C103" s="6"/>
      <c r="D103" s="54" t="s">
        <v>201</v>
      </c>
      <c r="E103" s="21" t="s">
        <v>202</v>
      </c>
      <c r="F103" s="22" t="s">
        <v>203</v>
      </c>
      <c r="G103" s="23">
        <f t="shared" si="0"/>
        <v>0</v>
      </c>
      <c r="H103" s="56">
        <f>H104+H120</f>
        <v>0</v>
      </c>
      <c r="I103" s="56">
        <f>I104+I120</f>
        <v>0</v>
      </c>
      <c r="J103" s="56">
        <f>J104+J120</f>
        <v>0</v>
      </c>
      <c r="K103" s="56">
        <f>K104+K120</f>
        <v>0</v>
      </c>
      <c r="L103" s="13"/>
      <c r="M103" s="24"/>
      <c r="P103" s="25">
        <v>750</v>
      </c>
    </row>
    <row r="104" spans="3:16" ht="15" customHeight="1">
      <c r="C104" s="6"/>
      <c r="D104" s="54" t="s">
        <v>204</v>
      </c>
      <c r="E104" s="26" t="s">
        <v>205</v>
      </c>
      <c r="F104" s="22" t="s">
        <v>206</v>
      </c>
      <c r="G104" s="23">
        <f t="shared" si="0"/>
        <v>0</v>
      </c>
      <c r="H104" s="56">
        <f>H105+H106</f>
        <v>0</v>
      </c>
      <c r="I104" s="56">
        <f>I105+I106</f>
        <v>0</v>
      </c>
      <c r="J104" s="56">
        <f>J105+J106</f>
        <v>0</v>
      </c>
      <c r="K104" s="56">
        <f>K105+K106</f>
        <v>0</v>
      </c>
      <c r="L104" s="13"/>
      <c r="M104" s="24"/>
      <c r="P104" s="25">
        <v>760</v>
      </c>
    </row>
    <row r="105" spans="3:16" ht="15" customHeight="1">
      <c r="C105" s="6"/>
      <c r="D105" s="54" t="s">
        <v>207</v>
      </c>
      <c r="E105" s="49" t="s">
        <v>208</v>
      </c>
      <c r="F105" s="22" t="s">
        <v>209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15" customHeight="1">
      <c r="C106" s="6"/>
      <c r="D106" s="54" t="s">
        <v>210</v>
      </c>
      <c r="E106" s="49" t="s">
        <v>211</v>
      </c>
      <c r="F106" s="22" t="s">
        <v>212</v>
      </c>
      <c r="G106" s="23">
        <f t="shared" si="0"/>
        <v>0</v>
      </c>
      <c r="H106" s="56">
        <f>H107+H110+H113+H116+H117+H118+H119</f>
        <v>0</v>
      </c>
      <c r="I106" s="56">
        <f>I107+I110+I113+I116+I117+I118+I119</f>
        <v>0</v>
      </c>
      <c r="J106" s="56">
        <f>J107+J110+J113+J116+J117+J118+J119</f>
        <v>0</v>
      </c>
      <c r="K106" s="56">
        <f>K107+K110+K113+K116+K117+K118+K119</f>
        <v>0</v>
      </c>
      <c r="L106" s="13"/>
      <c r="M106" s="24"/>
      <c r="P106" s="25"/>
    </row>
    <row r="107" spans="3:16" ht="45">
      <c r="C107" s="6"/>
      <c r="D107" s="54" t="s">
        <v>213</v>
      </c>
      <c r="E107" s="50" t="s">
        <v>214</v>
      </c>
      <c r="F107" s="22" t="s">
        <v>215</v>
      </c>
      <c r="G107" s="23">
        <f t="shared" si="0"/>
        <v>0</v>
      </c>
      <c r="H107" s="57">
        <f>H108+H109</f>
        <v>0</v>
      </c>
      <c r="I107" s="57">
        <f>I108+I109</f>
        <v>0</v>
      </c>
      <c r="J107" s="57">
        <f>J108+J109</f>
        <v>0</v>
      </c>
      <c r="K107" s="57">
        <f>K108+K109</f>
        <v>0</v>
      </c>
      <c r="L107" s="13"/>
      <c r="M107" s="24"/>
      <c r="P107" s="25"/>
    </row>
    <row r="108" spans="3:16" ht="15" customHeight="1">
      <c r="C108" s="6"/>
      <c r="D108" s="54" t="s">
        <v>216</v>
      </c>
      <c r="E108" s="58" t="s">
        <v>217</v>
      </c>
      <c r="F108" s="22" t="s">
        <v>218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15" customHeight="1">
      <c r="C109" s="6"/>
      <c r="D109" s="54" t="s">
        <v>219</v>
      </c>
      <c r="E109" s="58" t="s">
        <v>220</v>
      </c>
      <c r="F109" s="22" t="s">
        <v>221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45">
      <c r="C110" s="6"/>
      <c r="D110" s="54" t="s">
        <v>222</v>
      </c>
      <c r="E110" s="50" t="s">
        <v>223</v>
      </c>
      <c r="F110" s="22" t="s">
        <v>224</v>
      </c>
      <c r="G110" s="23">
        <f t="shared" si="0"/>
        <v>0</v>
      </c>
      <c r="H110" s="57">
        <f>H111+H112</f>
        <v>0</v>
      </c>
      <c r="I110" s="57">
        <f>I111+I112</f>
        <v>0</v>
      </c>
      <c r="J110" s="57">
        <f>J111+J112</f>
        <v>0</v>
      </c>
      <c r="K110" s="57">
        <f>K111+K112</f>
        <v>0</v>
      </c>
      <c r="L110" s="13"/>
      <c r="M110" s="24"/>
      <c r="P110" s="25"/>
    </row>
    <row r="111" spans="3:16" ht="15" customHeight="1">
      <c r="C111" s="6"/>
      <c r="D111" s="54" t="s">
        <v>225</v>
      </c>
      <c r="E111" s="58" t="s">
        <v>217</v>
      </c>
      <c r="F111" s="22" t="s">
        <v>226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>
      <c r="C112" s="6"/>
      <c r="D112" s="54" t="s">
        <v>227</v>
      </c>
      <c r="E112" s="58" t="s">
        <v>220</v>
      </c>
      <c r="F112" s="22" t="s">
        <v>228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229</v>
      </c>
      <c r="E113" s="50" t="s">
        <v>230</v>
      </c>
      <c r="F113" s="22" t="s">
        <v>231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>
      <c r="C114" s="6"/>
      <c r="D114" s="54" t="s">
        <v>232</v>
      </c>
      <c r="E114" s="58" t="s">
        <v>217</v>
      </c>
      <c r="F114" s="22" t="s">
        <v>233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234</v>
      </c>
      <c r="E115" s="58" t="s">
        <v>220</v>
      </c>
      <c r="F115" s="22" t="s">
        <v>235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5" customHeight="1">
      <c r="C116" s="6"/>
      <c r="D116" s="54" t="s">
        <v>236</v>
      </c>
      <c r="E116" s="50" t="s">
        <v>237</v>
      </c>
      <c r="F116" s="22" t="s">
        <v>238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5" customHeight="1">
      <c r="C117" s="6"/>
      <c r="D117" s="54" t="s">
        <v>239</v>
      </c>
      <c r="E117" s="50" t="s">
        <v>240</v>
      </c>
      <c r="F117" s="22" t="s">
        <v>241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9.5" customHeight="1">
      <c r="C118" s="6"/>
      <c r="D118" s="54" t="s">
        <v>242</v>
      </c>
      <c r="E118" s="50" t="s">
        <v>243</v>
      </c>
      <c r="F118" s="22" t="s">
        <v>244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3.5" customHeight="1">
      <c r="C119" s="6"/>
      <c r="D119" s="54" t="s">
        <v>245</v>
      </c>
      <c r="E119" s="50" t="s">
        <v>246</v>
      </c>
      <c r="F119" s="22" t="s">
        <v>247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248</v>
      </c>
      <c r="E120" s="26" t="s">
        <v>249</v>
      </c>
      <c r="F120" s="22" t="s">
        <v>250</v>
      </c>
      <c r="G120" s="23">
        <f t="shared" si="0"/>
        <v>0</v>
      </c>
      <c r="H120" s="56">
        <f>H123</f>
        <v>0</v>
      </c>
      <c r="I120" s="56">
        <f>I123</f>
        <v>0</v>
      </c>
      <c r="J120" s="56">
        <f>J123</f>
        <v>0</v>
      </c>
      <c r="K120" s="56">
        <f>K123</f>
        <v>0</v>
      </c>
      <c r="L120" s="13"/>
      <c r="M120" s="24"/>
      <c r="P120" s="25">
        <v>770</v>
      </c>
    </row>
    <row r="121" spans="3:16" ht="15" customHeight="1">
      <c r="C121" s="6"/>
      <c r="D121" s="54" t="s">
        <v>251</v>
      </c>
      <c r="E121" s="49" t="s">
        <v>193</v>
      </c>
      <c r="F121" s="22" t="s">
        <v>252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>
        <v>780</v>
      </c>
    </row>
    <row r="122" spans="3:16" ht="15" customHeight="1">
      <c r="C122" s="6"/>
      <c r="D122" s="54" t="s">
        <v>253</v>
      </c>
      <c r="E122" s="50" t="s">
        <v>254</v>
      </c>
      <c r="F122" s="22" t="s">
        <v>255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>
      <c r="C123" s="6"/>
      <c r="D123" s="54" t="s">
        <v>256</v>
      </c>
      <c r="E123" s="49" t="s">
        <v>199</v>
      </c>
      <c r="F123" s="22" t="s">
        <v>257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>
        <v>790</v>
      </c>
    </row>
    <row r="124" spans="3:16" ht="27" customHeight="1">
      <c r="C124" s="6"/>
      <c r="D124" s="54" t="s">
        <v>258</v>
      </c>
      <c r="E124" s="47" t="s">
        <v>259</v>
      </c>
      <c r="F124" s="22" t="s">
        <v>260</v>
      </c>
      <c r="G124" s="23">
        <f t="shared" si="0"/>
        <v>5362.6919999999991</v>
      </c>
      <c r="H124" s="56">
        <f>SUM(H125:H126)</f>
        <v>0</v>
      </c>
      <c r="I124" s="56">
        <f>SUM(I125:I126)</f>
        <v>4545.3539999999994</v>
      </c>
      <c r="J124" s="56">
        <f>SUM(J125:J126)</f>
        <v>264.25400000000002</v>
      </c>
      <c r="K124" s="56">
        <f>SUM(K125:K126)</f>
        <v>553.08400000000006</v>
      </c>
      <c r="L124" s="13"/>
      <c r="M124" s="24"/>
      <c r="P124" s="25"/>
    </row>
    <row r="125" spans="3:16" ht="15" customHeight="1">
      <c r="C125" s="6"/>
      <c r="D125" s="54" t="s">
        <v>261</v>
      </c>
      <c r="E125" s="26" t="s">
        <v>187</v>
      </c>
      <c r="F125" s="22" t="s">
        <v>262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>
      <c r="C126" s="6"/>
      <c r="D126" s="54" t="s">
        <v>263</v>
      </c>
      <c r="E126" s="26" t="s">
        <v>190</v>
      </c>
      <c r="F126" s="22" t="s">
        <v>264</v>
      </c>
      <c r="G126" s="23">
        <f t="shared" si="0"/>
        <v>5362.6919999999991</v>
      </c>
      <c r="H126" s="56">
        <f>H128</f>
        <v>0</v>
      </c>
      <c r="I126" s="56">
        <f>I128</f>
        <v>4545.3539999999994</v>
      </c>
      <c r="J126" s="56">
        <f>J128</f>
        <v>264.25400000000002</v>
      </c>
      <c r="K126" s="56">
        <f>K128</f>
        <v>553.08400000000006</v>
      </c>
      <c r="L126" s="13"/>
      <c r="M126" s="24"/>
      <c r="P126" s="25"/>
    </row>
    <row r="127" spans="3:16" ht="15" customHeight="1">
      <c r="C127" s="6"/>
      <c r="D127" s="54" t="s">
        <v>265</v>
      </c>
      <c r="E127" s="49" t="s">
        <v>266</v>
      </c>
      <c r="F127" s="22" t="s">
        <v>267</v>
      </c>
      <c r="G127" s="23">
        <f t="shared" si="0"/>
        <v>10.55</v>
      </c>
      <c r="H127" s="55"/>
      <c r="I127" s="55">
        <v>10.55</v>
      </c>
      <c r="J127" s="55"/>
      <c r="K127" s="55"/>
      <c r="L127" s="13"/>
      <c r="M127" s="24"/>
      <c r="P127" s="25"/>
    </row>
    <row r="128" spans="3:16" ht="15" customHeight="1">
      <c r="C128" s="6"/>
      <c r="D128" s="54" t="s">
        <v>268</v>
      </c>
      <c r="E128" s="49" t="s">
        <v>199</v>
      </c>
      <c r="F128" s="22" t="s">
        <v>269</v>
      </c>
      <c r="G128" s="23">
        <f t="shared" si="0"/>
        <v>5362.6919999999991</v>
      </c>
      <c r="H128" s="55"/>
      <c r="I128" s="55">
        <f>I34</f>
        <v>4545.3539999999994</v>
      </c>
      <c r="J128" s="55">
        <f>J34</f>
        <v>264.25400000000002</v>
      </c>
      <c r="K128" s="55">
        <f>K34</f>
        <v>553.08400000000006</v>
      </c>
      <c r="L128" s="13"/>
      <c r="M128" s="24"/>
      <c r="P128" s="25"/>
    </row>
    <row r="129" spans="3:16" ht="15" customHeight="1">
      <c r="C129" s="6"/>
      <c r="D129" s="83" t="s">
        <v>270</v>
      </c>
      <c r="E129" s="84"/>
      <c r="F129" s="84"/>
      <c r="G129" s="84"/>
      <c r="H129" s="84"/>
      <c r="I129" s="84"/>
      <c r="J129" s="84"/>
      <c r="K129" s="85"/>
      <c r="L129" s="13"/>
      <c r="M129" s="24"/>
      <c r="P129" s="59"/>
    </row>
    <row r="130" spans="3:16" ht="22.5">
      <c r="C130" s="6"/>
      <c r="D130" s="54" t="s">
        <v>271</v>
      </c>
      <c r="E130" s="21" t="s">
        <v>272</v>
      </c>
      <c r="F130" s="22" t="s">
        <v>273</v>
      </c>
      <c r="G130" s="23">
        <f t="shared" si="0"/>
        <v>0</v>
      </c>
      <c r="H130" s="56">
        <f>SUM( H131:H132)</f>
        <v>0</v>
      </c>
      <c r="I130" s="56">
        <f>SUM( I131:I132)</f>
        <v>0</v>
      </c>
      <c r="J130" s="56">
        <f>SUM( J131:J132)</f>
        <v>0</v>
      </c>
      <c r="K130" s="56">
        <f>SUM( K131:K132)</f>
        <v>0</v>
      </c>
      <c r="L130" s="13"/>
      <c r="M130" s="24"/>
      <c r="P130" s="25">
        <v>800</v>
      </c>
    </row>
    <row r="131" spans="3:16" ht="15" customHeight="1">
      <c r="C131" s="6"/>
      <c r="D131" s="54" t="s">
        <v>274</v>
      </c>
      <c r="E131" s="26" t="s">
        <v>187</v>
      </c>
      <c r="F131" s="22" t="s">
        <v>275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810</v>
      </c>
    </row>
    <row r="132" spans="3:16" ht="15" customHeight="1">
      <c r="C132" s="6"/>
      <c r="D132" s="54" t="s">
        <v>276</v>
      </c>
      <c r="E132" s="26" t="s">
        <v>190</v>
      </c>
      <c r="F132" s="22" t="s">
        <v>277</v>
      </c>
      <c r="G132" s="23">
        <f t="shared" si="0"/>
        <v>0</v>
      </c>
      <c r="H132" s="56">
        <f>H133+H135</f>
        <v>0</v>
      </c>
      <c r="I132" s="56">
        <f>I133+I135</f>
        <v>0</v>
      </c>
      <c r="J132" s="56">
        <f>J133+J135</f>
        <v>0</v>
      </c>
      <c r="K132" s="56">
        <f>K133+K135</f>
        <v>0</v>
      </c>
      <c r="L132" s="13"/>
      <c r="M132" s="24"/>
      <c r="P132" s="25">
        <v>820</v>
      </c>
    </row>
    <row r="133" spans="3:16" ht="15" customHeight="1">
      <c r="C133" s="6"/>
      <c r="D133" s="54" t="s">
        <v>278</v>
      </c>
      <c r="E133" s="49" t="s">
        <v>279</v>
      </c>
      <c r="F133" s="22" t="s">
        <v>280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>
        <v>830</v>
      </c>
    </row>
    <row r="134" spans="3:16" ht="15" customHeight="1">
      <c r="C134" s="6"/>
      <c r="D134" s="54" t="s">
        <v>281</v>
      </c>
      <c r="E134" s="50" t="s">
        <v>282</v>
      </c>
      <c r="F134" s="22" t="s">
        <v>283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59"/>
    </row>
    <row r="135" spans="3:16" ht="15" customHeight="1">
      <c r="C135" s="6"/>
      <c r="D135" s="54" t="s">
        <v>284</v>
      </c>
      <c r="E135" s="49" t="s">
        <v>285</v>
      </c>
      <c r="F135" s="22" t="s">
        <v>286</v>
      </c>
      <c r="G135" s="23">
        <f t="shared" si="0"/>
        <v>0</v>
      </c>
      <c r="H135" s="55"/>
      <c r="I135" s="55"/>
      <c r="J135" s="55"/>
      <c r="K135" s="55"/>
      <c r="L135" s="13"/>
      <c r="M135" s="24"/>
      <c r="P135" s="25">
        <v>840</v>
      </c>
    </row>
    <row r="136" spans="3:16" ht="15" customHeight="1">
      <c r="C136" s="6"/>
      <c r="D136" s="54" t="s">
        <v>29</v>
      </c>
      <c r="E136" s="21" t="s">
        <v>287</v>
      </c>
      <c r="F136" s="22" t="s">
        <v>288</v>
      </c>
      <c r="G136" s="23">
        <f t="shared" si="0"/>
        <v>0</v>
      </c>
      <c r="H136" s="57">
        <f>SUM( H137+H142)</f>
        <v>0</v>
      </c>
      <c r="I136" s="57">
        <f>SUM( I137+I142)</f>
        <v>0</v>
      </c>
      <c r="J136" s="57">
        <f>SUM( J137+J142)</f>
        <v>0</v>
      </c>
      <c r="K136" s="57">
        <f>SUM( K137+K142)</f>
        <v>0</v>
      </c>
      <c r="L136" s="60"/>
      <c r="M136" s="24"/>
      <c r="P136" s="25">
        <v>850</v>
      </c>
    </row>
    <row r="137" spans="3:16" ht="15" customHeight="1">
      <c r="C137" s="6"/>
      <c r="D137" s="54" t="s">
        <v>289</v>
      </c>
      <c r="E137" s="26" t="s">
        <v>187</v>
      </c>
      <c r="F137" s="22" t="s">
        <v>290</v>
      </c>
      <c r="G137" s="23">
        <f t="shared" ref="G137:G150" si="1">SUM(H137:K137)</f>
        <v>0</v>
      </c>
      <c r="H137" s="57">
        <f>SUM( H138:H139)</f>
        <v>0</v>
      </c>
      <c r="I137" s="57">
        <f>SUM( I138:I139)</f>
        <v>0</v>
      </c>
      <c r="J137" s="57">
        <f>SUM( J138:J139)</f>
        <v>0</v>
      </c>
      <c r="K137" s="57">
        <f>SUM( K138:K139)</f>
        <v>0</v>
      </c>
      <c r="L137" s="60"/>
      <c r="M137" s="24"/>
      <c r="P137" s="25">
        <v>860</v>
      </c>
    </row>
    <row r="138" spans="3:16" ht="15" customHeight="1">
      <c r="C138" s="6"/>
      <c r="D138" s="54" t="s">
        <v>291</v>
      </c>
      <c r="E138" s="49" t="s">
        <v>208</v>
      </c>
      <c r="F138" s="22" t="s">
        <v>292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293</v>
      </c>
      <c r="E139" s="49" t="s">
        <v>211</v>
      </c>
      <c r="F139" s="22" t="s">
        <v>294</v>
      </c>
      <c r="G139" s="23">
        <f t="shared" si="1"/>
        <v>0</v>
      </c>
      <c r="H139" s="57">
        <f>H140+H141</f>
        <v>0</v>
      </c>
      <c r="I139" s="57">
        <f>I140+I141</f>
        <v>0</v>
      </c>
      <c r="J139" s="57">
        <f>J140+J141</f>
        <v>0</v>
      </c>
      <c r="K139" s="57">
        <f>K140+K141</f>
        <v>0</v>
      </c>
      <c r="L139" s="60"/>
      <c r="M139" s="24"/>
      <c r="P139" s="25"/>
    </row>
    <row r="140" spans="3:16" ht="15" customHeight="1">
      <c r="C140" s="6"/>
      <c r="D140" s="54" t="s">
        <v>295</v>
      </c>
      <c r="E140" s="50" t="s">
        <v>217</v>
      </c>
      <c r="F140" s="22" t="s">
        <v>296</v>
      </c>
      <c r="G140" s="23">
        <f t="shared" si="1"/>
        <v>0</v>
      </c>
      <c r="H140" s="61"/>
      <c r="I140" s="61"/>
      <c r="J140" s="61"/>
      <c r="K140" s="61"/>
      <c r="L140" s="60"/>
      <c r="M140" s="24"/>
      <c r="P140" s="25"/>
    </row>
    <row r="141" spans="3:16" ht="15" customHeight="1">
      <c r="C141" s="6"/>
      <c r="D141" s="54" t="s">
        <v>297</v>
      </c>
      <c r="E141" s="50" t="s">
        <v>298</v>
      </c>
      <c r="F141" s="22" t="s">
        <v>299</v>
      </c>
      <c r="G141" s="23">
        <f t="shared" si="1"/>
        <v>0</v>
      </c>
      <c r="H141" s="61"/>
      <c r="I141" s="61"/>
      <c r="J141" s="61"/>
      <c r="K141" s="61"/>
      <c r="L141" s="60"/>
      <c r="M141" s="24"/>
      <c r="P141" s="25"/>
    </row>
    <row r="142" spans="3:16" ht="15" customHeight="1">
      <c r="C142" s="6"/>
      <c r="D142" s="54" t="s">
        <v>300</v>
      </c>
      <c r="E142" s="26" t="s">
        <v>249</v>
      </c>
      <c r="F142" s="22" t="s">
        <v>301</v>
      </c>
      <c r="G142" s="23">
        <f t="shared" si="1"/>
        <v>0</v>
      </c>
      <c r="H142" s="57">
        <f>H143+H145</f>
        <v>0</v>
      </c>
      <c r="I142" s="57">
        <f>I143+I145</f>
        <v>0</v>
      </c>
      <c r="J142" s="57">
        <f>J143+J145</f>
        <v>0</v>
      </c>
      <c r="K142" s="57">
        <f>K143+K145</f>
        <v>0</v>
      </c>
      <c r="L142" s="60"/>
      <c r="M142" s="24"/>
      <c r="P142" s="25">
        <v>870</v>
      </c>
    </row>
    <row r="143" spans="3:16" ht="15" customHeight="1">
      <c r="C143" s="6"/>
      <c r="D143" s="54" t="s">
        <v>302</v>
      </c>
      <c r="E143" s="49" t="s">
        <v>279</v>
      </c>
      <c r="F143" s="22" t="s">
        <v>303</v>
      </c>
      <c r="G143" s="23">
        <f t="shared" si="1"/>
        <v>0</v>
      </c>
      <c r="H143" s="55"/>
      <c r="I143" s="55"/>
      <c r="J143" s="55"/>
      <c r="K143" s="55"/>
      <c r="L143" s="60"/>
      <c r="M143" s="24"/>
      <c r="P143" s="25">
        <v>880</v>
      </c>
    </row>
    <row r="144" spans="3:16" ht="15" customHeight="1">
      <c r="C144" s="6"/>
      <c r="D144" s="54" t="s">
        <v>304</v>
      </c>
      <c r="E144" s="50" t="s">
        <v>282</v>
      </c>
      <c r="F144" s="22" t="s">
        <v>305</v>
      </c>
      <c r="G144" s="23">
        <f t="shared" si="1"/>
        <v>0</v>
      </c>
      <c r="H144" s="55"/>
      <c r="I144" s="55"/>
      <c r="J144" s="55"/>
      <c r="K144" s="55"/>
      <c r="L144" s="60"/>
      <c r="M144" s="24"/>
      <c r="P144" s="25"/>
    </row>
    <row r="145" spans="3:19" ht="15" customHeight="1">
      <c r="C145" s="6"/>
      <c r="D145" s="54" t="s">
        <v>306</v>
      </c>
      <c r="E145" s="49" t="s">
        <v>285</v>
      </c>
      <c r="F145" s="22" t="s">
        <v>307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>
        <v>890</v>
      </c>
    </row>
    <row r="146" spans="3:19" ht="28.5" customHeight="1">
      <c r="C146" s="6"/>
      <c r="D146" s="54" t="s">
        <v>308</v>
      </c>
      <c r="E146" s="21" t="s">
        <v>309</v>
      </c>
      <c r="F146" s="22" t="s">
        <v>310</v>
      </c>
      <c r="G146" s="23">
        <f t="shared" si="1"/>
        <v>2698.5447279999994</v>
      </c>
      <c r="H146" s="63">
        <f>SUM( H147:H148)</f>
        <v>0</v>
      </c>
      <c r="I146" s="63">
        <f>SUM( I147:I148)</f>
        <v>2563.7330579999998</v>
      </c>
      <c r="J146" s="63">
        <f>SUM( J147:J148)</f>
        <v>43.585999999999999</v>
      </c>
      <c r="K146" s="63">
        <f>SUM( K147:K148)</f>
        <v>91.225669999999994</v>
      </c>
      <c r="L146" s="60"/>
      <c r="M146" s="24"/>
      <c r="P146" s="25">
        <v>900</v>
      </c>
    </row>
    <row r="147" spans="3:19" ht="15" customHeight="1">
      <c r="C147" s="6"/>
      <c r="D147" s="54" t="s">
        <v>311</v>
      </c>
      <c r="E147" s="26" t="s">
        <v>187</v>
      </c>
      <c r="F147" s="22" t="s">
        <v>312</v>
      </c>
      <c r="G147" s="23">
        <f t="shared" si="1"/>
        <v>0</v>
      </c>
      <c r="H147" s="62"/>
      <c r="I147" s="62"/>
      <c r="J147" s="62"/>
      <c r="K147" s="62"/>
      <c r="L147" s="60"/>
      <c r="M147" s="24"/>
      <c r="P147" s="25"/>
    </row>
    <row r="148" spans="3:19" ht="15" customHeight="1">
      <c r="C148" s="6"/>
      <c r="D148" s="54" t="s">
        <v>313</v>
      </c>
      <c r="E148" s="26" t="s">
        <v>190</v>
      </c>
      <c r="F148" s="22" t="s">
        <v>314</v>
      </c>
      <c r="G148" s="23">
        <f t="shared" si="1"/>
        <v>2698.5447279999994</v>
      </c>
      <c r="H148" s="63">
        <f>H149+H150</f>
        <v>0</v>
      </c>
      <c r="I148" s="63">
        <f>I149+I150</f>
        <v>2563.7330579999998</v>
      </c>
      <c r="J148" s="63">
        <f>J149+J150</f>
        <v>43.585999999999999</v>
      </c>
      <c r="K148" s="63">
        <f>K149+K150</f>
        <v>91.225669999999994</v>
      </c>
      <c r="L148" s="60"/>
      <c r="M148" s="24"/>
      <c r="P148" s="25"/>
    </row>
    <row r="149" spans="3:19" ht="15" customHeight="1">
      <c r="C149" s="6"/>
      <c r="D149" s="54" t="s">
        <v>315</v>
      </c>
      <c r="E149" s="49" t="s">
        <v>316</v>
      </c>
      <c r="F149" s="22" t="s">
        <v>317</v>
      </c>
      <c r="G149" s="23">
        <f t="shared" si="1"/>
        <v>1819.130058</v>
      </c>
      <c r="H149" s="62"/>
      <c r="I149" s="73">
        <f>1819130.058/1000</f>
        <v>1819.130058</v>
      </c>
      <c r="J149" s="62"/>
      <c r="K149" s="62"/>
      <c r="L149" s="60"/>
      <c r="M149" s="24"/>
      <c r="P149" s="25"/>
    </row>
    <row r="150" spans="3:19" ht="15" customHeight="1">
      <c r="C150" s="6"/>
      <c r="D150" s="54" t="s">
        <v>319</v>
      </c>
      <c r="E150" s="49" t="s">
        <v>285</v>
      </c>
      <c r="F150" s="22" t="s">
        <v>320</v>
      </c>
      <c r="G150" s="23">
        <f t="shared" si="1"/>
        <v>879.41467</v>
      </c>
      <c r="H150" s="62"/>
      <c r="I150" s="73">
        <f>744.603</f>
        <v>744.60299999999995</v>
      </c>
      <c r="J150" s="62">
        <v>43.585999999999999</v>
      </c>
      <c r="K150" s="62">
        <v>91.225669999999994</v>
      </c>
      <c r="L150" s="60"/>
      <c r="M150" s="24"/>
      <c r="P150" s="25"/>
    </row>
    <row r="151" spans="3:19">
      <c r="D151" s="11"/>
      <c r="E151" s="64"/>
      <c r="F151" s="64"/>
      <c r="G151" s="64"/>
      <c r="H151" s="64"/>
      <c r="I151" s="64"/>
      <c r="J151" s="64"/>
      <c r="K151" s="65"/>
      <c r="L151" s="65"/>
      <c r="M151" s="65"/>
      <c r="N151" s="65"/>
      <c r="O151" s="65"/>
      <c r="P151" s="65"/>
      <c r="Q151" s="65"/>
      <c r="R151" s="66"/>
      <c r="S151" s="66"/>
    </row>
    <row r="152" spans="3:19" ht="12.75">
      <c r="E152" s="24" t="s">
        <v>322</v>
      </c>
      <c r="F152" s="76" t="str">
        <f>IF([4]Титульный!G45="","",[4]Титульный!G45)</f>
        <v>экономист</v>
      </c>
      <c r="G152" s="76"/>
      <c r="H152" s="67"/>
      <c r="I152" s="76" t="str">
        <f>IF([4]Титульный!G44="","",[4]Титульный!G44)</f>
        <v>Гизикова А.Н.</v>
      </c>
      <c r="J152" s="76"/>
      <c r="K152" s="76"/>
      <c r="L152" s="67"/>
      <c r="M152" s="68"/>
      <c r="N152" s="68"/>
      <c r="O152" s="69"/>
      <c r="P152" s="65"/>
      <c r="Q152" s="65"/>
      <c r="R152" s="66"/>
      <c r="S152" s="66"/>
    </row>
    <row r="153" spans="3:19" ht="12.75">
      <c r="E153" s="70" t="s">
        <v>323</v>
      </c>
      <c r="F153" s="86" t="s">
        <v>324</v>
      </c>
      <c r="G153" s="86"/>
      <c r="H153" s="69"/>
      <c r="I153" s="86" t="s">
        <v>325</v>
      </c>
      <c r="J153" s="86"/>
      <c r="K153" s="86"/>
      <c r="L153" s="69"/>
      <c r="M153" s="86" t="s">
        <v>326</v>
      </c>
      <c r="N153" s="86"/>
      <c r="O153" s="24"/>
      <c r="P153" s="65"/>
      <c r="Q153" s="65"/>
      <c r="R153" s="66"/>
      <c r="S153" s="66"/>
    </row>
    <row r="154" spans="3:19" ht="12.75">
      <c r="E154" s="70" t="s">
        <v>327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65"/>
      <c r="Q154" s="65"/>
      <c r="R154" s="66"/>
      <c r="S154" s="66"/>
    </row>
    <row r="155" spans="3:19" ht="12.75">
      <c r="E155" s="70" t="s">
        <v>328</v>
      </c>
      <c r="F155" s="76" t="str">
        <f>IF([4]Титульный!G46="","",[4]Титульный!G46)</f>
        <v>(861) 258-50-71</v>
      </c>
      <c r="G155" s="76"/>
      <c r="H155" s="76"/>
      <c r="I155" s="24"/>
      <c r="J155" s="70" t="s">
        <v>329</v>
      </c>
      <c r="K155" s="71"/>
      <c r="L155" s="24"/>
      <c r="M155" s="24"/>
      <c r="N155" s="24"/>
      <c r="O155" s="24"/>
      <c r="P155" s="65"/>
      <c r="Q155" s="65"/>
      <c r="R155" s="66"/>
      <c r="S155" s="66"/>
    </row>
    <row r="156" spans="3:19" ht="12.75">
      <c r="E156" s="24" t="s">
        <v>330</v>
      </c>
      <c r="F156" s="87" t="s">
        <v>331</v>
      </c>
      <c r="G156" s="87"/>
      <c r="H156" s="87"/>
      <c r="I156" s="24"/>
      <c r="J156" s="72" t="s">
        <v>332</v>
      </c>
      <c r="K156" s="72"/>
      <c r="L156" s="24"/>
      <c r="M156" s="24"/>
      <c r="N156" s="24"/>
      <c r="O156" s="24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  <row r="184" spans="5:19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</row>
    <row r="185" spans="5:19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81 E65 E58 E19 E42"/>
    <dataValidation type="decimal" allowBlank="1" showErrorMessage="1" errorTitle="Ошибка" error="Допускается ввод только действительных чисел!" sqref="G24:K26 J67:K81 G67:H81 I67:I75 I77:I81 G21:K22 G60:K61 G130:K150 G28:K42 G44:K52 G63:K65 G97:K128 G83:K91 G93:K95 G15:K19 G54:H58 I54:K57 K58 I58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indexed="31"/>
  </sheetPr>
  <dimension ref="A1:CC185"/>
  <sheetViews>
    <sheetView topLeftCell="C7" workbookViewId="0">
      <selection activeCell="O149" sqref="O149:P150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336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4577.2440000000006</v>
      </c>
      <c r="H15" s="23">
        <f>H16+H17+H21+H24</f>
        <v>0</v>
      </c>
      <c r="I15" s="23">
        <f>I16+I17+I21+I24</f>
        <v>4574.34</v>
      </c>
      <c r="J15" s="23">
        <f>J16+J17+J21+J24</f>
        <v>2.9039999999999999</v>
      </c>
      <c r="K15" s="23">
        <f>K16+K17+K21+K24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6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2.9039999999999999</v>
      </c>
      <c r="H17" s="23">
        <f>SUM(H18:H20)</f>
        <v>0</v>
      </c>
      <c r="I17" s="23">
        <f>SUM(I18:I20)</f>
        <v>0</v>
      </c>
      <c r="J17" s="23">
        <f>SUM(J18:J20)</f>
        <v>2.9039999999999999</v>
      </c>
      <c r="K17" s="23">
        <f>SUM(K18:K20)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32" t="s">
        <v>30</v>
      </c>
      <c r="D19" s="33" t="s">
        <v>31</v>
      </c>
      <c r="E19" s="34" t="s">
        <v>32</v>
      </c>
      <c r="F19" s="35">
        <v>31</v>
      </c>
      <c r="G19" s="36">
        <f>SUM(H19:K19)</f>
        <v>2.9039999999999999</v>
      </c>
      <c r="H19" s="37"/>
      <c r="I19" s="37"/>
      <c r="J19" s="37">
        <v>2.9039999999999999</v>
      </c>
      <c r="K19" s="38"/>
      <c r="L19" s="19"/>
      <c r="M19" s="39"/>
      <c r="N19" s="40"/>
      <c r="O19" s="40"/>
    </row>
    <row r="20" spans="3:16" s="17" customFormat="1" ht="15" customHeight="1">
      <c r="C20" s="18"/>
      <c r="D20" s="41"/>
      <c r="E20" s="42" t="s">
        <v>33</v>
      </c>
      <c r="F20" s="43"/>
      <c r="G20" s="43"/>
      <c r="H20" s="43"/>
      <c r="I20" s="43"/>
      <c r="J20" s="43"/>
      <c r="K20" s="44"/>
      <c r="L20" s="19"/>
      <c r="M20" s="24"/>
      <c r="P20" s="45"/>
    </row>
    <row r="21" spans="3:16" s="17" customFormat="1" ht="15" customHeight="1">
      <c r="C21" s="18"/>
      <c r="D21" s="20" t="s">
        <v>34</v>
      </c>
      <c r="E21" s="26" t="s">
        <v>35</v>
      </c>
      <c r="F21" s="22" t="s">
        <v>36</v>
      </c>
      <c r="G21" s="23">
        <f t="shared" si="0"/>
        <v>0</v>
      </c>
      <c r="H21" s="23">
        <f>SUM(H22:H23)</f>
        <v>0</v>
      </c>
      <c r="I21" s="23">
        <f>SUM(I22:I23)</f>
        <v>0</v>
      </c>
      <c r="J21" s="23">
        <f>SUM(J22:J23)</f>
        <v>0</v>
      </c>
      <c r="K21" s="23">
        <f>SUM(K22:K23)</f>
        <v>0</v>
      </c>
      <c r="L21" s="19"/>
      <c r="M21" s="24"/>
      <c r="P21" s="45"/>
    </row>
    <row r="22" spans="3:16" s="17" customFormat="1" ht="12.75" hidden="1">
      <c r="C22" s="18"/>
      <c r="D22" s="28" t="s">
        <v>37</v>
      </c>
      <c r="E22" s="29"/>
      <c r="F22" s="30" t="s">
        <v>36</v>
      </c>
      <c r="G22" s="31"/>
      <c r="H22" s="31"/>
      <c r="I22" s="31"/>
      <c r="J22" s="31"/>
      <c r="K22" s="31"/>
      <c r="L22" s="19"/>
      <c r="M22" s="24"/>
      <c r="P22" s="25"/>
    </row>
    <row r="23" spans="3:16" s="17" customFormat="1" ht="15" customHeight="1">
      <c r="C23" s="18"/>
      <c r="D23" s="41"/>
      <c r="E23" s="42" t="s">
        <v>33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>
      <c r="C24" s="18"/>
      <c r="D24" s="20" t="s">
        <v>38</v>
      </c>
      <c r="E24" s="26" t="s">
        <v>39</v>
      </c>
      <c r="F24" s="22" t="s">
        <v>40</v>
      </c>
      <c r="G24" s="23">
        <f t="shared" si="0"/>
        <v>4574.34</v>
      </c>
      <c r="H24" s="23">
        <f>SUM(H25:H27)</f>
        <v>0</v>
      </c>
      <c r="I24" s="23">
        <f>SUM(I25:I27)</f>
        <v>4574.34</v>
      </c>
      <c r="J24" s="23">
        <f>SUM(J25:J27)</f>
        <v>0</v>
      </c>
      <c r="K24" s="23">
        <f>SUM(K25:K27)</f>
        <v>0</v>
      </c>
      <c r="L24" s="19"/>
      <c r="M24" s="24"/>
      <c r="P24" s="25"/>
    </row>
    <row r="25" spans="3:16" s="17" customFormat="1" ht="12.75" hidden="1">
      <c r="C25" s="18"/>
      <c r="D25" s="28" t="s">
        <v>41</v>
      </c>
      <c r="E25" s="29"/>
      <c r="F25" s="30" t="s">
        <v>40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>
      <c r="C26" s="32" t="s">
        <v>30</v>
      </c>
      <c r="D26" s="33" t="s">
        <v>42</v>
      </c>
      <c r="E26" s="34" t="s">
        <v>43</v>
      </c>
      <c r="F26" s="35">
        <v>431</v>
      </c>
      <c r="G26" s="36">
        <f>SUM(H26:K26)</f>
        <v>4574.34</v>
      </c>
      <c r="H26" s="37"/>
      <c r="I26" s="37">
        <v>4574.34</v>
      </c>
      <c r="J26" s="37"/>
      <c r="K26" s="38"/>
      <c r="L26" s="19"/>
      <c r="M26" s="39"/>
      <c r="N26" s="40"/>
      <c r="O26" s="40"/>
    </row>
    <row r="27" spans="3:16" s="17" customFormat="1" ht="15" customHeight="1">
      <c r="C27" s="18"/>
      <c r="D27" s="41"/>
      <c r="E27" s="42" t="s">
        <v>33</v>
      </c>
      <c r="F27" s="43"/>
      <c r="G27" s="43"/>
      <c r="H27" s="43"/>
      <c r="I27" s="43"/>
      <c r="J27" s="43"/>
      <c r="K27" s="44"/>
      <c r="L27" s="19"/>
      <c r="M27" s="24"/>
      <c r="P27" s="25"/>
    </row>
    <row r="28" spans="3:16" s="17" customFormat="1" ht="15" customHeight="1">
      <c r="C28" s="18"/>
      <c r="D28" s="20" t="s">
        <v>44</v>
      </c>
      <c r="E28" s="21" t="s">
        <v>45</v>
      </c>
      <c r="F28" s="22" t="s">
        <v>46</v>
      </c>
      <c r="G28" s="23">
        <f t="shared" si="0"/>
        <v>1467.1690000000003</v>
      </c>
      <c r="H28" s="23">
        <f>H30+H31+H32</f>
        <v>0</v>
      </c>
      <c r="I28" s="23">
        <f>I29+I31+I32</f>
        <v>0</v>
      </c>
      <c r="J28" s="23">
        <f>J29+J30+J32</f>
        <v>861.60300000000018</v>
      </c>
      <c r="K28" s="23">
        <f>K29+K30+K31</f>
        <v>605.56600000000014</v>
      </c>
      <c r="L28" s="19"/>
      <c r="M28" s="24"/>
      <c r="P28" s="25"/>
    </row>
    <row r="29" spans="3:16" s="17" customFormat="1" ht="15" customHeight="1">
      <c r="C29" s="18"/>
      <c r="D29" s="20" t="s">
        <v>47</v>
      </c>
      <c r="E29" s="26" t="s">
        <v>17</v>
      </c>
      <c r="F29" s="22" t="s">
        <v>48</v>
      </c>
      <c r="G29" s="23">
        <f t="shared" si="0"/>
        <v>0</v>
      </c>
      <c r="H29" s="46"/>
      <c r="I29" s="27"/>
      <c r="J29" s="27"/>
      <c r="K29" s="27"/>
      <c r="L29" s="19"/>
      <c r="M29" s="24"/>
      <c r="P29" s="25"/>
    </row>
    <row r="30" spans="3:16" s="17" customFormat="1" ht="15" customHeight="1">
      <c r="C30" s="18"/>
      <c r="D30" s="20" t="s">
        <v>49</v>
      </c>
      <c r="E30" s="26" t="s">
        <v>18</v>
      </c>
      <c r="F30" s="22" t="s">
        <v>50</v>
      </c>
      <c r="G30" s="23">
        <f t="shared" si="0"/>
        <v>861.60300000000018</v>
      </c>
      <c r="H30" s="27"/>
      <c r="I30" s="46"/>
      <c r="J30" s="27">
        <f>I15-I34-I48</f>
        <v>861.60300000000018</v>
      </c>
      <c r="K30" s="27"/>
      <c r="L30" s="19"/>
      <c r="M30" s="24"/>
      <c r="P30" s="25"/>
    </row>
    <row r="31" spans="3:16" s="17" customFormat="1" ht="15" customHeight="1">
      <c r="C31" s="18"/>
      <c r="D31" s="20" t="s">
        <v>51</v>
      </c>
      <c r="E31" s="26" t="s">
        <v>19</v>
      </c>
      <c r="F31" s="22" t="s">
        <v>52</v>
      </c>
      <c r="G31" s="23">
        <f t="shared" si="0"/>
        <v>605.56600000000014</v>
      </c>
      <c r="H31" s="27"/>
      <c r="I31" s="27"/>
      <c r="J31" s="46"/>
      <c r="K31" s="27">
        <f>J15+J28-J34-J48</f>
        <v>605.56600000000014</v>
      </c>
      <c r="L31" s="19"/>
      <c r="M31" s="24"/>
      <c r="P31" s="25"/>
    </row>
    <row r="32" spans="3:16" s="17" customFormat="1" ht="15" customHeight="1">
      <c r="C32" s="18"/>
      <c r="D32" s="20" t="s">
        <v>53</v>
      </c>
      <c r="E32" s="26" t="s">
        <v>54</v>
      </c>
      <c r="F32" s="22" t="s">
        <v>55</v>
      </c>
      <c r="G32" s="23">
        <f t="shared" si="0"/>
        <v>0</v>
      </c>
      <c r="H32" s="27"/>
      <c r="I32" s="27"/>
      <c r="J32" s="27"/>
      <c r="K32" s="46"/>
      <c r="L32" s="19"/>
      <c r="M32" s="24"/>
      <c r="P32" s="25"/>
    </row>
    <row r="33" spans="3:16" s="17" customFormat="1" ht="15" customHeight="1">
      <c r="C33" s="18"/>
      <c r="D33" s="20" t="s">
        <v>56</v>
      </c>
      <c r="E33" s="47" t="s">
        <v>57</v>
      </c>
      <c r="F33" s="22" t="s">
        <v>58</v>
      </c>
      <c r="G33" s="23">
        <f t="shared" si="0"/>
        <v>0</v>
      </c>
      <c r="H33" s="27"/>
      <c r="I33" s="27"/>
      <c r="J33" s="27"/>
      <c r="K33" s="27"/>
      <c r="L33" s="19"/>
      <c r="M33" s="24"/>
      <c r="P33" s="25"/>
    </row>
    <row r="34" spans="3:16" s="17" customFormat="1" ht="15" customHeight="1">
      <c r="C34" s="18"/>
      <c r="D34" s="20" t="s">
        <v>59</v>
      </c>
      <c r="E34" s="21" t="s">
        <v>60</v>
      </c>
      <c r="F34" s="48" t="s">
        <v>61</v>
      </c>
      <c r="G34" s="23">
        <f t="shared" si="0"/>
        <v>4487.0379999999996</v>
      </c>
      <c r="H34" s="23">
        <f>H35+H37+H40+H44</f>
        <v>0</v>
      </c>
      <c r="I34" s="23">
        <f>I35+I37+I40+I44</f>
        <v>3657.8879999999999</v>
      </c>
      <c r="J34" s="23">
        <f>J35+J37+J40+J44</f>
        <v>247.691</v>
      </c>
      <c r="K34" s="23">
        <f>K35+K37+K40+K44</f>
        <v>581.45899999999995</v>
      </c>
      <c r="L34" s="19"/>
      <c r="M34" s="24"/>
      <c r="P34" s="25"/>
    </row>
    <row r="35" spans="3:16" s="17" customFormat="1" ht="22.5">
      <c r="C35" s="18"/>
      <c r="D35" s="20" t="s">
        <v>62</v>
      </c>
      <c r="E35" s="26" t="s">
        <v>63</v>
      </c>
      <c r="F35" s="22" t="s">
        <v>64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65</v>
      </c>
      <c r="E36" s="49" t="s">
        <v>66</v>
      </c>
      <c r="F36" s="22" t="s">
        <v>67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>
      <c r="C37" s="18"/>
      <c r="D37" s="20" t="s">
        <v>68</v>
      </c>
      <c r="E37" s="26" t="s">
        <v>69</v>
      </c>
      <c r="F37" s="22" t="s">
        <v>70</v>
      </c>
      <c r="G37" s="23">
        <f t="shared" si="0"/>
        <v>1575.9209999999998</v>
      </c>
      <c r="H37" s="27"/>
      <c r="I37" s="27">
        <v>746.77099999999996</v>
      </c>
      <c r="J37" s="27">
        <v>247.691</v>
      </c>
      <c r="K37" s="27">
        <v>581.45899999999995</v>
      </c>
      <c r="L37" s="19"/>
      <c r="M37" s="24"/>
      <c r="P37" s="25"/>
    </row>
    <row r="38" spans="3:16" s="17" customFormat="1" ht="15" customHeight="1">
      <c r="C38" s="18"/>
      <c r="D38" s="20" t="s">
        <v>71</v>
      </c>
      <c r="E38" s="49" t="s">
        <v>72</v>
      </c>
      <c r="F38" s="22" t="s">
        <v>73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74</v>
      </c>
      <c r="E39" s="50" t="s">
        <v>66</v>
      </c>
      <c r="F39" s="22" t="s">
        <v>75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>
      <c r="C40" s="18"/>
      <c r="D40" s="20" t="s">
        <v>76</v>
      </c>
      <c r="E40" s="26" t="s">
        <v>77</v>
      </c>
      <c r="F40" s="22" t="s">
        <v>78</v>
      </c>
      <c r="G40" s="23">
        <f t="shared" si="0"/>
        <v>2911.1170000000002</v>
      </c>
      <c r="H40" s="23">
        <f>SUM(H41:H43)</f>
        <v>0</v>
      </c>
      <c r="I40" s="23">
        <f>SUM(I41:I43)</f>
        <v>2911.1170000000002</v>
      </c>
      <c r="J40" s="23">
        <f>SUM(J41:J43)</f>
        <v>0</v>
      </c>
      <c r="K40" s="23">
        <f>SUM(K41:K43)</f>
        <v>0</v>
      </c>
      <c r="L40" s="19"/>
      <c r="M40" s="24"/>
      <c r="P40" s="25"/>
    </row>
    <row r="41" spans="3:16" s="17" customFormat="1" ht="12.75" hidden="1">
      <c r="C41" s="18"/>
      <c r="D41" s="28" t="s">
        <v>79</v>
      </c>
      <c r="E41" s="29"/>
      <c r="F41" s="30" t="s">
        <v>78</v>
      </c>
      <c r="G41" s="31"/>
      <c r="H41" s="31"/>
      <c r="I41" s="31"/>
      <c r="J41" s="31"/>
      <c r="K41" s="31"/>
      <c r="L41" s="19"/>
      <c r="M41" s="24"/>
      <c r="P41" s="25"/>
    </row>
    <row r="42" spans="3:16" s="17" customFormat="1" ht="15" customHeight="1">
      <c r="C42" s="32" t="s">
        <v>30</v>
      </c>
      <c r="D42" s="33" t="s">
        <v>80</v>
      </c>
      <c r="E42" s="34" t="s">
        <v>81</v>
      </c>
      <c r="F42" s="35">
        <v>751</v>
      </c>
      <c r="G42" s="36">
        <f>SUM(H42:K42)</f>
        <v>2911.1170000000002</v>
      </c>
      <c r="H42" s="37"/>
      <c r="I42" s="37">
        <v>2911.1170000000002</v>
      </c>
      <c r="J42" s="37"/>
      <c r="K42" s="38"/>
      <c r="L42" s="19"/>
      <c r="M42" s="39"/>
      <c r="N42" s="40"/>
      <c r="O42" s="40"/>
    </row>
    <row r="43" spans="3:16" s="17" customFormat="1" ht="15" customHeight="1">
      <c r="C43" s="18"/>
      <c r="D43" s="51"/>
      <c r="E43" s="42" t="s">
        <v>33</v>
      </c>
      <c r="F43" s="43"/>
      <c r="G43" s="43"/>
      <c r="H43" s="43"/>
      <c r="I43" s="43"/>
      <c r="J43" s="43"/>
      <c r="K43" s="44"/>
      <c r="L43" s="19"/>
      <c r="M43" s="24"/>
      <c r="P43" s="25"/>
    </row>
    <row r="44" spans="3:16" s="17" customFormat="1" ht="15" customHeight="1">
      <c r="C44" s="18"/>
      <c r="D44" s="20" t="s">
        <v>82</v>
      </c>
      <c r="E44" s="52" t="s">
        <v>83</v>
      </c>
      <c r="F44" s="22" t="s">
        <v>84</v>
      </c>
      <c r="G44" s="23">
        <f t="shared" si="0"/>
        <v>0</v>
      </c>
      <c r="H44" s="27"/>
      <c r="I44" s="27"/>
      <c r="J44" s="27"/>
      <c r="K44" s="27"/>
      <c r="L44" s="19"/>
      <c r="M44" s="24"/>
      <c r="P44" s="25"/>
    </row>
    <row r="45" spans="3:16" s="17" customFormat="1" ht="15" customHeight="1">
      <c r="C45" s="18"/>
      <c r="D45" s="20" t="s">
        <v>85</v>
      </c>
      <c r="E45" s="21" t="s">
        <v>86</v>
      </c>
      <c r="F45" s="22" t="s">
        <v>87</v>
      </c>
      <c r="G45" s="23">
        <f t="shared" si="0"/>
        <v>1467.1690000000003</v>
      </c>
      <c r="H45" s="27"/>
      <c r="I45" s="27">
        <f>I15-I34-I48</f>
        <v>861.60300000000018</v>
      </c>
      <c r="J45" s="27">
        <f>J19+J30-J37-J48</f>
        <v>605.56600000000014</v>
      </c>
      <c r="K45" s="27"/>
      <c r="L45" s="19"/>
      <c r="M45" s="24"/>
      <c r="P45" s="25"/>
    </row>
    <row r="46" spans="3:16" s="17" customFormat="1" ht="15" customHeight="1">
      <c r="C46" s="18"/>
      <c r="D46" s="20" t="s">
        <v>88</v>
      </c>
      <c r="E46" s="21" t="s">
        <v>89</v>
      </c>
      <c r="F46" s="22" t="s">
        <v>90</v>
      </c>
      <c r="G46" s="23">
        <f t="shared" si="0"/>
        <v>0</v>
      </c>
      <c r="H46" s="27"/>
      <c r="I46" s="27"/>
      <c r="J46" s="27"/>
      <c r="K46" s="27"/>
      <c r="L46" s="19"/>
      <c r="M46" s="24"/>
      <c r="P46" s="25"/>
    </row>
    <row r="47" spans="3:16" s="17" customFormat="1" ht="15" customHeight="1">
      <c r="C47" s="18"/>
      <c r="D47" s="20" t="s">
        <v>91</v>
      </c>
      <c r="E47" s="21" t="s">
        <v>92</v>
      </c>
      <c r="F47" s="22" t="s">
        <v>93</v>
      </c>
      <c r="G47" s="23">
        <f t="shared" si="0"/>
        <v>0</v>
      </c>
      <c r="H47" s="27"/>
      <c r="I47" s="27"/>
      <c r="J47" s="27"/>
      <c r="K47" s="27"/>
      <c r="L47" s="19"/>
      <c r="M47" s="24"/>
      <c r="P47" s="25"/>
    </row>
    <row r="48" spans="3:16" s="17" customFormat="1" ht="15" customHeight="1">
      <c r="C48" s="18"/>
      <c r="D48" s="20" t="s">
        <v>94</v>
      </c>
      <c r="E48" s="21" t="s">
        <v>95</v>
      </c>
      <c r="F48" s="22" t="s">
        <v>96</v>
      </c>
      <c r="G48" s="23">
        <f t="shared" si="0"/>
        <v>90.205999999999989</v>
      </c>
      <c r="H48" s="27"/>
      <c r="I48" s="27">
        <v>54.848999999999997</v>
      </c>
      <c r="J48" s="27">
        <v>11.25</v>
      </c>
      <c r="K48" s="27">
        <v>24.106999999999999</v>
      </c>
      <c r="L48" s="19"/>
      <c r="M48" s="24"/>
      <c r="P48" s="25"/>
    </row>
    <row r="49" spans="3:16" s="17" customFormat="1" ht="15" customHeight="1">
      <c r="C49" s="18"/>
      <c r="D49" s="20" t="s">
        <v>97</v>
      </c>
      <c r="E49" s="26" t="s">
        <v>98</v>
      </c>
      <c r="F49" s="22" t="s">
        <v>99</v>
      </c>
      <c r="G49" s="23">
        <f t="shared" si="0"/>
        <v>0</v>
      </c>
      <c r="H49" s="27"/>
      <c r="I49" s="27"/>
      <c r="J49" s="27"/>
      <c r="K49" s="27"/>
      <c r="L49" s="19"/>
      <c r="M49" s="24"/>
      <c r="P49" s="25"/>
    </row>
    <row r="50" spans="3:16" s="17" customFormat="1" ht="15" customHeight="1">
      <c r="C50" s="18"/>
      <c r="D50" s="20" t="s">
        <v>100</v>
      </c>
      <c r="E50" s="21" t="s">
        <v>101</v>
      </c>
      <c r="F50" s="22" t="s">
        <v>102</v>
      </c>
      <c r="G50" s="23">
        <f t="shared" si="0"/>
        <v>250</v>
      </c>
      <c r="H50" s="27"/>
      <c r="I50" s="27">
        <v>42.342636551804283</v>
      </c>
      <c r="J50" s="27">
        <v>97.863078355355825</v>
      </c>
      <c r="K50" s="27">
        <v>109.79428509283989</v>
      </c>
      <c r="L50" s="19"/>
      <c r="M50" s="24"/>
      <c r="P50" s="45"/>
    </row>
    <row r="51" spans="3:16" s="17" customFormat="1" ht="33.75">
      <c r="C51" s="18"/>
      <c r="D51" s="20" t="s">
        <v>103</v>
      </c>
      <c r="E51" s="47" t="s">
        <v>104</v>
      </c>
      <c r="F51" s="22" t="s">
        <v>105</v>
      </c>
      <c r="G51" s="23">
        <f t="shared" si="0"/>
        <v>-159.79399999999998</v>
      </c>
      <c r="H51" s="23">
        <f>H48-H50</f>
        <v>0</v>
      </c>
      <c r="I51" s="23">
        <f>I48-I50</f>
        <v>12.506363448195714</v>
      </c>
      <c r="J51" s="23">
        <f>J48-J50</f>
        <v>-86.613078355355825</v>
      </c>
      <c r="K51" s="23">
        <f>K48-K50</f>
        <v>-85.687285092839886</v>
      </c>
      <c r="L51" s="19"/>
      <c r="M51" s="24"/>
      <c r="P51" s="45"/>
    </row>
    <row r="52" spans="3:16" s="17" customFormat="1" ht="15" customHeight="1">
      <c r="C52" s="18"/>
      <c r="D52" s="20" t="s">
        <v>106</v>
      </c>
      <c r="E52" s="21" t="s">
        <v>107</v>
      </c>
      <c r="F52" s="22" t="s">
        <v>108</v>
      </c>
      <c r="G52" s="23">
        <f t="shared" si="0"/>
        <v>0</v>
      </c>
      <c r="H52" s="23">
        <f>(H15+H28+H33)-(H34+H45+H46+H47+H48)</f>
        <v>0</v>
      </c>
      <c r="I52" s="23">
        <f>(I15+I28+I33)-(I34+I45+I46+I47+I48)</f>
        <v>0</v>
      </c>
      <c r="J52" s="23">
        <f>(J15+J28+J33)-(J34+J45+J46+J47+J48)</f>
        <v>0</v>
      </c>
      <c r="K52" s="23">
        <f>(K15+K28+K33)-(K34+K45+K46+K47+K48)</f>
        <v>0</v>
      </c>
      <c r="L52" s="19"/>
      <c r="M52" s="24"/>
      <c r="P52" s="25"/>
    </row>
    <row r="53" spans="3:16" s="17" customFormat="1" ht="15" customHeight="1">
      <c r="C53" s="18"/>
      <c r="D53" s="83" t="s">
        <v>109</v>
      </c>
      <c r="E53" s="84"/>
      <c r="F53" s="84"/>
      <c r="G53" s="84"/>
      <c r="H53" s="84"/>
      <c r="I53" s="84"/>
      <c r="J53" s="84"/>
      <c r="K53" s="85"/>
      <c r="L53" s="19"/>
      <c r="M53" s="24"/>
      <c r="P53" s="45"/>
    </row>
    <row r="54" spans="3:16" s="17" customFormat="1" ht="15" customHeight="1">
      <c r="C54" s="18"/>
      <c r="D54" s="20" t="s">
        <v>110</v>
      </c>
      <c r="E54" s="21" t="s">
        <v>23</v>
      </c>
      <c r="F54" s="22" t="s">
        <v>111</v>
      </c>
      <c r="G54" s="23">
        <f t="shared" si="0"/>
        <v>6.3613166666666663</v>
      </c>
      <c r="H54" s="23">
        <f>H55+H56+H60+H63</f>
        <v>0</v>
      </c>
      <c r="I54" s="23">
        <f>I55+I56+I60+I63</f>
        <v>6.3572833333333332</v>
      </c>
      <c r="J54" s="23">
        <f>J55+J56+J60+J63</f>
        <v>4.0333333333333332E-3</v>
      </c>
      <c r="K54" s="23">
        <f>K55+K56+K60+K63</f>
        <v>0</v>
      </c>
      <c r="L54" s="19"/>
      <c r="M54" s="24"/>
      <c r="P54" s="25"/>
    </row>
    <row r="55" spans="3:16" s="17" customFormat="1" ht="15" customHeight="1">
      <c r="C55" s="18"/>
      <c r="D55" s="20" t="s">
        <v>112</v>
      </c>
      <c r="E55" s="26" t="s">
        <v>25</v>
      </c>
      <c r="F55" s="22" t="s">
        <v>113</v>
      </c>
      <c r="G55" s="23">
        <f t="shared" si="0"/>
        <v>0</v>
      </c>
      <c r="H55" s="27"/>
      <c r="I55" s="27"/>
      <c r="J55" s="27"/>
      <c r="K55" s="27"/>
      <c r="L55" s="19"/>
      <c r="M55" s="24"/>
      <c r="P55" s="25"/>
    </row>
    <row r="56" spans="3:16" s="17" customFormat="1" ht="15" customHeight="1">
      <c r="C56" s="18"/>
      <c r="D56" s="20" t="s">
        <v>114</v>
      </c>
      <c r="E56" s="26" t="s">
        <v>27</v>
      </c>
      <c r="F56" s="22" t="s">
        <v>115</v>
      </c>
      <c r="G56" s="23">
        <f t="shared" si="0"/>
        <v>8.0666666666666664E-3</v>
      </c>
      <c r="H56" s="23">
        <f>SUM(H57:H59)</f>
        <v>0</v>
      </c>
      <c r="I56" s="23">
        <f>SUM(I57:I59)</f>
        <v>4.0333333333333332E-3</v>
      </c>
      <c r="J56" s="23">
        <f>SUM(J57:J59)</f>
        <v>4.0333333333333332E-3</v>
      </c>
      <c r="K56" s="23">
        <f>SUM(K57:K59)</f>
        <v>0</v>
      </c>
      <c r="L56" s="19"/>
      <c r="M56" s="24"/>
      <c r="P56" s="25"/>
    </row>
    <row r="57" spans="3:16" s="17" customFormat="1" ht="12.75" hidden="1">
      <c r="C57" s="18"/>
      <c r="D57" s="28" t="s">
        <v>116</v>
      </c>
      <c r="E57" s="29"/>
      <c r="F57" s="30" t="s">
        <v>115</v>
      </c>
      <c r="G57" s="31"/>
      <c r="H57" s="31"/>
      <c r="I57" s="31"/>
      <c r="J57" s="31"/>
      <c r="K57" s="31"/>
      <c r="L57" s="19"/>
      <c r="M57" s="24"/>
      <c r="P57" s="25"/>
    </row>
    <row r="58" spans="3:16" s="17" customFormat="1" ht="15" customHeight="1">
      <c r="C58" s="32" t="s">
        <v>30</v>
      </c>
      <c r="D58" s="33" t="s">
        <v>117</v>
      </c>
      <c r="E58" s="34" t="s">
        <v>32</v>
      </c>
      <c r="F58" s="35">
        <v>1061</v>
      </c>
      <c r="G58" s="36">
        <f>SUM(H58:K58)</f>
        <v>8.0666666666666664E-3</v>
      </c>
      <c r="H58" s="37"/>
      <c r="I58" s="37">
        <f>J19/720</f>
        <v>4.0333333333333332E-3</v>
      </c>
      <c r="J58" s="37">
        <f>J19/720</f>
        <v>4.0333333333333332E-3</v>
      </c>
      <c r="K58" s="37">
        <f>K19/744</f>
        <v>0</v>
      </c>
      <c r="L58" s="19"/>
      <c r="M58" s="39"/>
      <c r="N58" s="40"/>
      <c r="O58" s="40"/>
    </row>
    <row r="59" spans="3:16" s="17" customFormat="1" ht="15" customHeight="1">
      <c r="C59" s="18"/>
      <c r="D59" s="41"/>
      <c r="E59" s="42" t="s">
        <v>33</v>
      </c>
      <c r="F59" s="43"/>
      <c r="G59" s="43"/>
      <c r="H59" s="43"/>
      <c r="I59" s="43"/>
      <c r="J59" s="43"/>
      <c r="K59" s="44"/>
      <c r="L59" s="19"/>
      <c r="M59" s="24"/>
      <c r="P59" s="25"/>
    </row>
    <row r="60" spans="3:16" s="17" customFormat="1" ht="15" customHeight="1">
      <c r="C60" s="18"/>
      <c r="D60" s="20" t="s">
        <v>118</v>
      </c>
      <c r="E60" s="26" t="s">
        <v>35</v>
      </c>
      <c r="F60" s="22" t="s">
        <v>119</v>
      </c>
      <c r="G60" s="23">
        <f t="shared" si="0"/>
        <v>0</v>
      </c>
      <c r="H60" s="23">
        <f>SUM(H61:H62)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19"/>
      <c r="M60" s="24"/>
      <c r="P60" s="25"/>
    </row>
    <row r="61" spans="3:16" s="17" customFormat="1" ht="12.75" hidden="1" customHeight="1">
      <c r="C61" s="18"/>
      <c r="D61" s="28" t="s">
        <v>120</v>
      </c>
      <c r="E61" s="29"/>
      <c r="F61" s="30" t="s">
        <v>119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customHeight="1">
      <c r="C62" s="18"/>
      <c r="D62" s="41"/>
      <c r="E62" s="42" t="s">
        <v>33</v>
      </c>
      <c r="F62" s="43"/>
      <c r="G62" s="43"/>
      <c r="H62" s="43"/>
      <c r="I62" s="43"/>
      <c r="J62" s="43"/>
      <c r="K62" s="44"/>
      <c r="L62" s="19"/>
      <c r="M62" s="24"/>
      <c r="P62" s="25"/>
    </row>
    <row r="63" spans="3:16" s="17" customFormat="1" ht="15" customHeight="1">
      <c r="C63" s="18"/>
      <c r="D63" s="20" t="s">
        <v>121</v>
      </c>
      <c r="E63" s="26" t="s">
        <v>39</v>
      </c>
      <c r="F63" s="22" t="s">
        <v>122</v>
      </c>
      <c r="G63" s="23">
        <f t="shared" si="0"/>
        <v>6.3532500000000001</v>
      </c>
      <c r="H63" s="23">
        <f>SUM(H64:H66)</f>
        <v>0</v>
      </c>
      <c r="I63" s="23">
        <f>SUM(I64:I66)</f>
        <v>6.3532500000000001</v>
      </c>
      <c r="J63" s="23">
        <f>SUM(J64:J66)</f>
        <v>0</v>
      </c>
      <c r="K63" s="23">
        <f>SUM(K64:K66)</f>
        <v>0</v>
      </c>
      <c r="L63" s="19"/>
      <c r="M63" s="24"/>
      <c r="P63" s="25"/>
    </row>
    <row r="64" spans="3:16" s="17" customFormat="1" ht="12.75" hidden="1" customHeight="1">
      <c r="C64" s="18"/>
      <c r="D64" s="28" t="s">
        <v>123</v>
      </c>
      <c r="E64" s="29"/>
      <c r="F64" s="30" t="s">
        <v>122</v>
      </c>
      <c r="G64" s="31"/>
      <c r="H64" s="31"/>
      <c r="I64" s="31"/>
      <c r="J64" s="31"/>
      <c r="K64" s="31"/>
      <c r="L64" s="19"/>
      <c r="M64" s="24"/>
      <c r="P64" s="25"/>
    </row>
    <row r="65" spans="3:16" s="17" customFormat="1" ht="15" customHeight="1">
      <c r="C65" s="32" t="s">
        <v>30</v>
      </c>
      <c r="D65" s="33" t="s">
        <v>124</v>
      </c>
      <c r="E65" s="34" t="s">
        <v>43</v>
      </c>
      <c r="F65" s="35">
        <v>1461</v>
      </c>
      <c r="G65" s="36">
        <f>SUM(H65:K65)</f>
        <v>6.3532500000000001</v>
      </c>
      <c r="H65" s="37"/>
      <c r="I65" s="37">
        <f>I26/720</f>
        <v>6.3532500000000001</v>
      </c>
      <c r="J65" s="37">
        <f>J26/720</f>
        <v>0</v>
      </c>
      <c r="K65" s="37">
        <f>K26/744</f>
        <v>0</v>
      </c>
      <c r="L65" s="19"/>
      <c r="M65" s="39"/>
      <c r="N65" s="40"/>
      <c r="O65" s="40"/>
    </row>
    <row r="66" spans="3:16" s="17" customFormat="1" ht="15" customHeight="1">
      <c r="C66" s="18"/>
      <c r="D66" s="41"/>
      <c r="E66" s="42" t="s">
        <v>33</v>
      </c>
      <c r="F66" s="43"/>
      <c r="G66" s="43"/>
      <c r="H66" s="43"/>
      <c r="I66" s="43"/>
      <c r="J66" s="43"/>
      <c r="K66" s="44"/>
      <c r="L66" s="19"/>
      <c r="M66" s="24"/>
      <c r="P66" s="25"/>
    </row>
    <row r="67" spans="3:16" s="17" customFormat="1" ht="15" customHeight="1">
      <c r="C67" s="18"/>
      <c r="D67" s="20" t="s">
        <v>125</v>
      </c>
      <c r="E67" s="21" t="s">
        <v>45</v>
      </c>
      <c r="F67" s="22" t="s">
        <v>126</v>
      </c>
      <c r="G67" s="23">
        <f t="shared" si="0"/>
        <v>2.0377347222222228</v>
      </c>
      <c r="H67" s="23">
        <f>H69+H70+H71</f>
        <v>0</v>
      </c>
      <c r="I67" s="23">
        <f>I68+I70+I71</f>
        <v>0</v>
      </c>
      <c r="J67" s="23">
        <f>J68+J69+J71</f>
        <v>1.1966708333333336</v>
      </c>
      <c r="K67" s="23">
        <f>K68+K69+K70</f>
        <v>0.84106388888888906</v>
      </c>
      <c r="L67" s="19"/>
      <c r="M67" s="24"/>
      <c r="P67" s="25"/>
    </row>
    <row r="68" spans="3:16" s="17" customFormat="1" ht="15" customHeight="1">
      <c r="C68" s="18"/>
      <c r="D68" s="20" t="s">
        <v>127</v>
      </c>
      <c r="E68" s="26" t="s">
        <v>17</v>
      </c>
      <c r="F68" s="22" t="s">
        <v>128</v>
      </c>
      <c r="G68" s="23">
        <f t="shared" si="0"/>
        <v>0</v>
      </c>
      <c r="H68" s="46"/>
      <c r="I68" s="27"/>
      <c r="J68" s="27"/>
      <c r="K68" s="27"/>
      <c r="L68" s="19"/>
      <c r="M68" s="24"/>
      <c r="P68" s="25"/>
    </row>
    <row r="69" spans="3:16" s="17" customFormat="1" ht="15" customHeight="1">
      <c r="C69" s="18"/>
      <c r="D69" s="20" t="s">
        <v>129</v>
      </c>
      <c r="E69" s="26" t="s">
        <v>18</v>
      </c>
      <c r="F69" s="22" t="s">
        <v>130</v>
      </c>
      <c r="G69" s="23">
        <f t="shared" si="0"/>
        <v>1.1966708333333336</v>
      </c>
      <c r="H69" s="27"/>
      <c r="I69" s="53"/>
      <c r="J69" s="27">
        <f>J30/720</f>
        <v>1.1966708333333336</v>
      </c>
      <c r="K69" s="27">
        <f>K30/744</f>
        <v>0</v>
      </c>
      <c r="L69" s="19"/>
      <c r="M69" s="24"/>
      <c r="P69" s="25"/>
    </row>
    <row r="70" spans="3:16" s="17" customFormat="1" ht="15" customHeight="1">
      <c r="C70" s="18"/>
      <c r="D70" s="20" t="s">
        <v>131</v>
      </c>
      <c r="E70" s="26" t="s">
        <v>19</v>
      </c>
      <c r="F70" s="22" t="s">
        <v>132</v>
      </c>
      <c r="G70" s="23">
        <f t="shared" si="0"/>
        <v>0.84106388888888906</v>
      </c>
      <c r="H70" s="27"/>
      <c r="I70" s="27"/>
      <c r="J70" s="46"/>
      <c r="K70" s="27">
        <f>K31/720</f>
        <v>0.84106388888888906</v>
      </c>
      <c r="L70" s="19"/>
      <c r="M70" s="24"/>
      <c r="P70" s="25"/>
    </row>
    <row r="71" spans="3:16" s="17" customFormat="1" ht="15" customHeight="1">
      <c r="C71" s="18"/>
      <c r="D71" s="20" t="s">
        <v>133</v>
      </c>
      <c r="E71" s="26" t="s">
        <v>54</v>
      </c>
      <c r="F71" s="22" t="s">
        <v>134</v>
      </c>
      <c r="G71" s="23">
        <f t="shared" si="0"/>
        <v>0</v>
      </c>
      <c r="H71" s="27"/>
      <c r="I71" s="27"/>
      <c r="J71" s="27"/>
      <c r="K71" s="46"/>
      <c r="L71" s="19"/>
      <c r="M71" s="24"/>
      <c r="P71" s="25"/>
    </row>
    <row r="72" spans="3:16" s="17" customFormat="1" ht="15" customHeight="1">
      <c r="C72" s="18"/>
      <c r="D72" s="20" t="s">
        <v>135</v>
      </c>
      <c r="E72" s="47" t="s">
        <v>57</v>
      </c>
      <c r="F72" s="22" t="s">
        <v>136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137</v>
      </c>
      <c r="E73" s="21" t="s">
        <v>60</v>
      </c>
      <c r="F73" s="48" t="s">
        <v>138</v>
      </c>
      <c r="G73" s="23">
        <f t="shared" si="0"/>
        <v>5.1948152777777779</v>
      </c>
      <c r="H73" s="23">
        <f>H74+H76+H79+H83</f>
        <v>0</v>
      </c>
      <c r="I73" s="23">
        <f>I74+J77+I79+I83</f>
        <v>4.0432180555555561</v>
      </c>
      <c r="J73" s="23">
        <f>J74+J76+J79+J83</f>
        <v>0.34401527777777779</v>
      </c>
      <c r="K73" s="23">
        <f>K74+K76+K79+K83</f>
        <v>0.80758194444444442</v>
      </c>
      <c r="L73" s="19"/>
      <c r="M73" s="24"/>
      <c r="P73" s="25"/>
    </row>
    <row r="74" spans="3:16" s="17" customFormat="1" ht="22.5">
      <c r="C74" s="18"/>
      <c r="D74" s="20" t="s">
        <v>139</v>
      </c>
      <c r="E74" s="26" t="s">
        <v>63</v>
      </c>
      <c r="F74" s="22" t="s">
        <v>140</v>
      </c>
      <c r="G74" s="23">
        <f t="shared" si="0"/>
        <v>0</v>
      </c>
      <c r="H74" s="27"/>
      <c r="I74" s="27"/>
      <c r="J74" s="27"/>
      <c r="K74" s="27"/>
      <c r="L74" s="19"/>
      <c r="M74" s="24"/>
      <c r="P74" s="25"/>
    </row>
    <row r="75" spans="3:16" s="17" customFormat="1" ht="15" customHeight="1">
      <c r="C75" s="18"/>
      <c r="D75" s="20" t="s">
        <v>141</v>
      </c>
      <c r="E75" s="49" t="s">
        <v>66</v>
      </c>
      <c r="F75" s="22" t="s">
        <v>142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143</v>
      </c>
      <c r="E76" s="26" t="s">
        <v>69</v>
      </c>
      <c r="F76" s="22" t="s">
        <v>144</v>
      </c>
      <c r="G76" s="23">
        <f t="shared" si="0"/>
        <v>2.1887791666666665</v>
      </c>
      <c r="H76" s="27"/>
      <c r="I76" s="27">
        <f>I37/720</f>
        <v>1.0371819444444443</v>
      </c>
      <c r="J76" s="27">
        <f>J37/720</f>
        <v>0.34401527777777779</v>
      </c>
      <c r="K76" s="27">
        <f>K37/720</f>
        <v>0.80758194444444442</v>
      </c>
      <c r="L76" s="19"/>
      <c r="M76" s="24"/>
      <c r="P76" s="25"/>
    </row>
    <row r="77" spans="3:16" s="17" customFormat="1" ht="15" customHeight="1">
      <c r="C77" s="18"/>
      <c r="D77" s="20" t="s">
        <v>145</v>
      </c>
      <c r="E77" s="49" t="s">
        <v>72</v>
      </c>
      <c r="F77" s="22" t="s">
        <v>146</v>
      </c>
      <c r="G77" s="23">
        <f t="shared" si="0"/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>
      <c r="C78" s="18"/>
      <c r="D78" s="20" t="s">
        <v>147</v>
      </c>
      <c r="E78" s="50" t="s">
        <v>66</v>
      </c>
      <c r="F78" s="22" t="s">
        <v>148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>
      <c r="C79" s="18"/>
      <c r="D79" s="20" t="s">
        <v>149</v>
      </c>
      <c r="E79" s="26" t="s">
        <v>77</v>
      </c>
      <c r="F79" s="22" t="s">
        <v>150</v>
      </c>
      <c r="G79" s="23">
        <f t="shared" si="0"/>
        <v>4.0432180555555561</v>
      </c>
      <c r="H79" s="23">
        <f>SUM(H80:H82)</f>
        <v>0</v>
      </c>
      <c r="I79" s="23">
        <f>SUM(I80:I82)</f>
        <v>4.0432180555555561</v>
      </c>
      <c r="J79" s="23">
        <f>SUM(J80:J82)</f>
        <v>0</v>
      </c>
      <c r="K79" s="23">
        <f>SUM(K80:K82)</f>
        <v>0</v>
      </c>
      <c r="L79" s="19"/>
      <c r="M79" s="24"/>
      <c r="P79" s="25"/>
    </row>
    <row r="80" spans="3:16" s="17" customFormat="1" ht="12.75" hidden="1" customHeight="1">
      <c r="C80" s="18"/>
      <c r="D80" s="28" t="s">
        <v>151</v>
      </c>
      <c r="E80" s="29"/>
      <c r="F80" s="30" t="s">
        <v>150</v>
      </c>
      <c r="G80" s="31"/>
      <c r="H80" s="31"/>
      <c r="I80" s="31"/>
      <c r="J80" s="31"/>
      <c r="K80" s="31"/>
      <c r="L80" s="19"/>
      <c r="M80" s="24"/>
      <c r="P80" s="25"/>
    </row>
    <row r="81" spans="3:16" s="17" customFormat="1" ht="15" customHeight="1">
      <c r="C81" s="32" t="s">
        <v>30</v>
      </c>
      <c r="D81" s="33" t="s">
        <v>152</v>
      </c>
      <c r="E81" s="34" t="s">
        <v>81</v>
      </c>
      <c r="F81" s="35">
        <v>1781</v>
      </c>
      <c r="G81" s="36">
        <f>SUM(H81:K81)</f>
        <v>4.0432180555555561</v>
      </c>
      <c r="H81" s="37"/>
      <c r="I81" s="37">
        <f>I42/720</f>
        <v>4.0432180555555561</v>
      </c>
      <c r="J81" s="37">
        <f>J42/720</f>
        <v>0</v>
      </c>
      <c r="K81" s="37">
        <f>K42/744</f>
        <v>0</v>
      </c>
      <c r="L81" s="19"/>
      <c r="M81" s="39"/>
      <c r="N81" s="40"/>
      <c r="O81" s="40"/>
    </row>
    <row r="82" spans="3:16" s="17" customFormat="1" ht="15" customHeight="1">
      <c r="C82" s="18"/>
      <c r="D82" s="41"/>
      <c r="E82" s="42" t="s">
        <v>33</v>
      </c>
      <c r="F82" s="43"/>
      <c r="G82" s="43"/>
      <c r="H82" s="43"/>
      <c r="I82" s="43"/>
      <c r="J82" s="43"/>
      <c r="K82" s="44"/>
      <c r="L82" s="19"/>
      <c r="M82" s="24"/>
      <c r="P82" s="25"/>
    </row>
    <row r="83" spans="3:16" s="17" customFormat="1" ht="15" customHeight="1">
      <c r="C83" s="18"/>
      <c r="D83" s="20" t="s">
        <v>153</v>
      </c>
      <c r="E83" s="52" t="s">
        <v>83</v>
      </c>
      <c r="F83" s="22" t="s">
        <v>154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>
      <c r="C84" s="18"/>
      <c r="D84" s="20" t="s">
        <v>155</v>
      </c>
      <c r="E84" s="21" t="s">
        <v>86</v>
      </c>
      <c r="F84" s="22" t="s">
        <v>156</v>
      </c>
      <c r="G84" s="23">
        <f t="shared" si="0"/>
        <v>2.0377347222222228</v>
      </c>
      <c r="H84" s="27"/>
      <c r="I84" s="27">
        <f>I45/720</f>
        <v>1.1966708333333336</v>
      </c>
      <c r="J84" s="27">
        <f>J45/720</f>
        <v>0.84106388888888906</v>
      </c>
      <c r="K84" s="27">
        <f>K45/720</f>
        <v>0</v>
      </c>
      <c r="L84" s="19"/>
      <c r="M84" s="24"/>
      <c r="P84" s="25"/>
    </row>
    <row r="85" spans="3:16" s="17" customFormat="1" ht="15" customHeight="1">
      <c r="C85" s="18"/>
      <c r="D85" s="20" t="s">
        <v>157</v>
      </c>
      <c r="E85" s="21" t="s">
        <v>89</v>
      </c>
      <c r="F85" s="22" t="s">
        <v>158</v>
      </c>
      <c r="G85" s="23">
        <f t="shared" si="0"/>
        <v>0</v>
      </c>
      <c r="H85" s="27"/>
      <c r="I85" s="27"/>
      <c r="J85" s="27"/>
      <c r="K85" s="27"/>
      <c r="L85" s="19"/>
      <c r="M85" s="24"/>
      <c r="P85" s="25"/>
    </row>
    <row r="86" spans="3:16" s="17" customFormat="1" ht="15" customHeight="1">
      <c r="C86" s="18"/>
      <c r="D86" s="20" t="s">
        <v>159</v>
      </c>
      <c r="E86" s="21" t="s">
        <v>92</v>
      </c>
      <c r="F86" s="22" t="s">
        <v>160</v>
      </c>
      <c r="G86" s="23">
        <f t="shared" si="0"/>
        <v>0</v>
      </c>
      <c r="H86" s="27"/>
      <c r="I86" s="27"/>
      <c r="J86" s="27"/>
      <c r="K86" s="27"/>
      <c r="L86" s="19"/>
      <c r="M86" s="24"/>
      <c r="P86" s="25"/>
    </row>
    <row r="87" spans="3:16" s="17" customFormat="1" ht="15" customHeight="1">
      <c r="C87" s="18"/>
      <c r="D87" s="20" t="s">
        <v>161</v>
      </c>
      <c r="E87" s="21" t="s">
        <v>95</v>
      </c>
      <c r="F87" s="22" t="s">
        <v>162</v>
      </c>
      <c r="G87" s="23">
        <f t="shared" si="0"/>
        <v>0.1252861111111111</v>
      </c>
      <c r="H87" s="27"/>
      <c r="I87" s="27">
        <f>I48/720</f>
        <v>7.6179166666666659E-2</v>
      </c>
      <c r="J87" s="27">
        <f>J48/720</f>
        <v>1.5625E-2</v>
      </c>
      <c r="K87" s="27">
        <f>K48/720</f>
        <v>3.3481944444444446E-2</v>
      </c>
      <c r="L87" s="19"/>
      <c r="M87" s="24"/>
      <c r="P87" s="25"/>
    </row>
    <row r="88" spans="3:16" s="17" customFormat="1" ht="15" customHeight="1">
      <c r="C88" s="18"/>
      <c r="D88" s="20" t="s">
        <v>163</v>
      </c>
      <c r="E88" s="26" t="s">
        <v>164</v>
      </c>
      <c r="F88" s="22" t="s">
        <v>165</v>
      </c>
      <c r="G88" s="23">
        <f t="shared" si="0"/>
        <v>0</v>
      </c>
      <c r="H88" s="27"/>
      <c r="I88" s="27"/>
      <c r="J88" s="27"/>
      <c r="K88" s="27"/>
      <c r="L88" s="19"/>
      <c r="M88" s="24"/>
      <c r="P88" s="25"/>
    </row>
    <row r="89" spans="3:16" s="17" customFormat="1" ht="15" customHeight="1">
      <c r="C89" s="18"/>
      <c r="D89" s="20" t="s">
        <v>166</v>
      </c>
      <c r="E89" s="21" t="s">
        <v>101</v>
      </c>
      <c r="F89" s="22" t="s">
        <v>167</v>
      </c>
      <c r="G89" s="23">
        <f t="shared" si="0"/>
        <v>0.34722222222222221</v>
      </c>
      <c r="H89" s="27"/>
      <c r="I89" s="27">
        <f>I50/720</f>
        <v>5.8809217433061507E-2</v>
      </c>
      <c r="J89" s="27">
        <f>J50/720</f>
        <v>0.13592094216021641</v>
      </c>
      <c r="K89" s="27">
        <f>K50/720</f>
        <v>0.1524920626289443</v>
      </c>
      <c r="L89" s="19"/>
      <c r="M89" s="24"/>
      <c r="P89" s="25"/>
    </row>
    <row r="90" spans="3:16" s="17" customFormat="1" ht="33.75">
      <c r="C90" s="18"/>
      <c r="D90" s="20" t="s">
        <v>168</v>
      </c>
      <c r="E90" s="47" t="s">
        <v>104</v>
      </c>
      <c r="F90" s="22" t="s">
        <v>169</v>
      </c>
      <c r="G90" s="23">
        <f t="shared" si="0"/>
        <v>-0.22193611111111111</v>
      </c>
      <c r="H90" s="23">
        <f>H87-H89</f>
        <v>0</v>
      </c>
      <c r="I90" s="23">
        <f>I87-I89</f>
        <v>1.7369949233605152E-2</v>
      </c>
      <c r="J90" s="23">
        <f>J87-J89</f>
        <v>-0.12029594216021641</v>
      </c>
      <c r="K90" s="23">
        <f>K87-K89</f>
        <v>-0.11901011818449986</v>
      </c>
      <c r="L90" s="19"/>
      <c r="M90" s="24"/>
      <c r="P90" s="25"/>
    </row>
    <row r="91" spans="3:16" s="17" customFormat="1" ht="15" customHeight="1">
      <c r="C91" s="18"/>
      <c r="D91" s="20" t="s">
        <v>170</v>
      </c>
      <c r="E91" s="21" t="s">
        <v>107</v>
      </c>
      <c r="F91" s="22" t="s">
        <v>171</v>
      </c>
      <c r="G91" s="23">
        <f t="shared" si="0"/>
        <v>1.0412152777777761</v>
      </c>
      <c r="H91" s="23">
        <f>(H54+H67+H72)-(H73+H84+H85+H86+H87)</f>
        <v>0</v>
      </c>
      <c r="I91" s="23">
        <f>(I54+I67+I72)-(I73+I84+I85+I86+I87)</f>
        <v>1.0412152777777761</v>
      </c>
      <c r="J91" s="23">
        <f>(J54+J67+J72)-(J73+J84+J85+J86+J87)</f>
        <v>0</v>
      </c>
      <c r="K91" s="23">
        <f>(K54+K67+K72)-(K73+K84+K85+K86+K87)</f>
        <v>0</v>
      </c>
      <c r="L91" s="19"/>
      <c r="M91" s="24"/>
      <c r="P91" s="25"/>
    </row>
    <row r="92" spans="3:16" s="17" customFormat="1" ht="15" customHeight="1">
      <c r="C92" s="18"/>
      <c r="D92" s="83" t="s">
        <v>172</v>
      </c>
      <c r="E92" s="84"/>
      <c r="F92" s="84"/>
      <c r="G92" s="84"/>
      <c r="H92" s="84"/>
      <c r="I92" s="84"/>
      <c r="J92" s="84"/>
      <c r="K92" s="85"/>
      <c r="L92" s="19"/>
      <c r="M92" s="24"/>
      <c r="P92" s="45"/>
    </row>
    <row r="93" spans="3:16" s="17" customFormat="1" ht="15" customHeight="1">
      <c r="C93" s="18"/>
      <c r="D93" s="20" t="s">
        <v>173</v>
      </c>
      <c r="E93" s="21" t="s">
        <v>174</v>
      </c>
      <c r="F93" s="22" t="s">
        <v>175</v>
      </c>
      <c r="G93" s="23">
        <f t="shared" si="0"/>
        <v>0</v>
      </c>
      <c r="H93" s="27"/>
      <c r="I93" s="27"/>
      <c r="J93" s="27"/>
      <c r="K93" s="27"/>
      <c r="L93" s="19"/>
      <c r="M93" s="24"/>
      <c r="P93" s="25"/>
    </row>
    <row r="94" spans="3:16" s="17" customFormat="1" ht="15" customHeight="1">
      <c r="C94" s="18"/>
      <c r="D94" s="20" t="s">
        <v>176</v>
      </c>
      <c r="E94" s="21" t="s">
        <v>177</v>
      </c>
      <c r="F94" s="22" t="s">
        <v>178</v>
      </c>
      <c r="G94" s="23">
        <f t="shared" si="0"/>
        <v>10.55</v>
      </c>
      <c r="H94" s="27"/>
      <c r="I94" s="27">
        <v>10.55</v>
      </c>
      <c r="J94" s="27"/>
      <c r="K94" s="27"/>
      <c r="L94" s="19"/>
      <c r="M94" s="24"/>
      <c r="P94" s="25"/>
    </row>
    <row r="95" spans="3:16" s="17" customFormat="1" ht="15" customHeight="1">
      <c r="C95" s="18"/>
      <c r="D95" s="20" t="s">
        <v>179</v>
      </c>
      <c r="E95" s="21" t="s">
        <v>180</v>
      </c>
      <c r="F95" s="22" t="s">
        <v>181</v>
      </c>
      <c r="G95" s="23">
        <f t="shared" si="0"/>
        <v>0</v>
      </c>
      <c r="H95" s="27"/>
      <c r="I95" s="27"/>
      <c r="J95" s="27"/>
      <c r="K95" s="27"/>
      <c r="L95" s="19"/>
      <c r="M95" s="24"/>
      <c r="P95" s="25"/>
    </row>
    <row r="96" spans="3:16" s="17" customFormat="1" ht="15" customHeight="1">
      <c r="C96" s="18"/>
      <c r="D96" s="83" t="s">
        <v>182</v>
      </c>
      <c r="E96" s="84"/>
      <c r="F96" s="84"/>
      <c r="G96" s="84"/>
      <c r="H96" s="84"/>
      <c r="I96" s="84"/>
      <c r="J96" s="84"/>
      <c r="K96" s="85"/>
      <c r="L96" s="19"/>
      <c r="M96" s="24"/>
      <c r="P96" s="45"/>
    </row>
    <row r="97" spans="3:16" s="17" customFormat="1" ht="15" customHeight="1">
      <c r="C97" s="18"/>
      <c r="D97" s="20" t="s">
        <v>183</v>
      </c>
      <c r="E97" s="21" t="s">
        <v>184</v>
      </c>
      <c r="F97" s="22" t="s">
        <v>185</v>
      </c>
      <c r="G97" s="23">
        <f t="shared" si="0"/>
        <v>0</v>
      </c>
      <c r="H97" s="23">
        <f>SUM(H98:H99)</f>
        <v>0</v>
      </c>
      <c r="I97" s="23">
        <f>SUM(I98:I99)</f>
        <v>0</v>
      </c>
      <c r="J97" s="23">
        <f>SUM(J98:J99)</f>
        <v>0</v>
      </c>
      <c r="K97" s="23">
        <f>SUM(K98:K99)</f>
        <v>0</v>
      </c>
      <c r="L97" s="19"/>
      <c r="M97" s="24"/>
      <c r="P97" s="25"/>
    </row>
    <row r="98" spans="3:16" ht="15" customHeight="1">
      <c r="C98" s="6"/>
      <c r="D98" s="54" t="s">
        <v>186</v>
      </c>
      <c r="E98" s="26" t="s">
        <v>187</v>
      </c>
      <c r="F98" s="22" t="s">
        <v>188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/>
    </row>
    <row r="99" spans="3:16" ht="15" customHeight="1">
      <c r="C99" s="6"/>
      <c r="D99" s="54" t="s">
        <v>189</v>
      </c>
      <c r="E99" s="26" t="s">
        <v>190</v>
      </c>
      <c r="F99" s="22" t="s">
        <v>191</v>
      </c>
      <c r="G99" s="23">
        <f t="shared" si="0"/>
        <v>0</v>
      </c>
      <c r="H99" s="56">
        <f>H102</f>
        <v>0</v>
      </c>
      <c r="I99" s="56">
        <f>I102</f>
        <v>0</v>
      </c>
      <c r="J99" s="56">
        <f>J102</f>
        <v>0</v>
      </c>
      <c r="K99" s="56">
        <f>K102</f>
        <v>0</v>
      </c>
      <c r="L99" s="13"/>
      <c r="M99" s="24"/>
      <c r="P99" s="25"/>
    </row>
    <row r="100" spans="3:16" ht="15" customHeight="1">
      <c r="C100" s="6"/>
      <c r="D100" s="54" t="s">
        <v>192</v>
      </c>
      <c r="E100" s="49" t="s">
        <v>193</v>
      </c>
      <c r="F100" s="22" t="s">
        <v>194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/>
    </row>
    <row r="101" spans="3:16" ht="15" customHeight="1">
      <c r="C101" s="6"/>
      <c r="D101" s="54" t="s">
        <v>195</v>
      </c>
      <c r="E101" s="50" t="s">
        <v>196</v>
      </c>
      <c r="F101" s="22" t="s">
        <v>197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5" customHeight="1">
      <c r="C102" s="6"/>
      <c r="D102" s="54" t="s">
        <v>198</v>
      </c>
      <c r="E102" s="49" t="s">
        <v>199</v>
      </c>
      <c r="F102" s="22" t="s">
        <v>200</v>
      </c>
      <c r="G102" s="23">
        <f t="shared" si="0"/>
        <v>0</v>
      </c>
      <c r="H102" s="55"/>
      <c r="I102" s="55"/>
      <c r="J102" s="55"/>
      <c r="K102" s="55"/>
      <c r="L102" s="13"/>
      <c r="M102" s="24"/>
      <c r="P102" s="25"/>
    </row>
    <row r="103" spans="3:16" ht="15" customHeight="1">
      <c r="C103" s="6"/>
      <c r="D103" s="54" t="s">
        <v>201</v>
      </c>
      <c r="E103" s="21" t="s">
        <v>202</v>
      </c>
      <c r="F103" s="22" t="s">
        <v>203</v>
      </c>
      <c r="G103" s="23">
        <f t="shared" si="0"/>
        <v>0</v>
      </c>
      <c r="H103" s="56">
        <f>H104+H120</f>
        <v>0</v>
      </c>
      <c r="I103" s="56">
        <f>I104+I120</f>
        <v>0</v>
      </c>
      <c r="J103" s="56">
        <f>J104+J120</f>
        <v>0</v>
      </c>
      <c r="K103" s="56">
        <f>K104+K120</f>
        <v>0</v>
      </c>
      <c r="L103" s="13"/>
      <c r="M103" s="24"/>
      <c r="P103" s="25"/>
    </row>
    <row r="104" spans="3:16" ht="15" customHeight="1">
      <c r="C104" s="6"/>
      <c r="D104" s="54" t="s">
        <v>204</v>
      </c>
      <c r="E104" s="26" t="s">
        <v>205</v>
      </c>
      <c r="F104" s="22" t="s">
        <v>206</v>
      </c>
      <c r="G104" s="23">
        <f t="shared" si="0"/>
        <v>0</v>
      </c>
      <c r="H104" s="56">
        <f>H105+H106</f>
        <v>0</v>
      </c>
      <c r="I104" s="56">
        <f>I105+I106</f>
        <v>0</v>
      </c>
      <c r="J104" s="56">
        <f>J105+J106</f>
        <v>0</v>
      </c>
      <c r="K104" s="56">
        <f>K105+K106</f>
        <v>0</v>
      </c>
      <c r="L104" s="13"/>
      <c r="M104" s="24"/>
      <c r="P104" s="25"/>
    </row>
    <row r="105" spans="3:16" ht="15" customHeight="1">
      <c r="C105" s="6"/>
      <c r="D105" s="54" t="s">
        <v>207</v>
      </c>
      <c r="E105" s="49" t="s">
        <v>208</v>
      </c>
      <c r="F105" s="22" t="s">
        <v>209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15" customHeight="1">
      <c r="C106" s="6"/>
      <c r="D106" s="54" t="s">
        <v>210</v>
      </c>
      <c r="E106" s="49" t="s">
        <v>211</v>
      </c>
      <c r="F106" s="22" t="s">
        <v>212</v>
      </c>
      <c r="G106" s="23">
        <f t="shared" si="0"/>
        <v>0</v>
      </c>
      <c r="H106" s="56">
        <f>H107+H110+H113+H116+H117+H118+H119</f>
        <v>0</v>
      </c>
      <c r="I106" s="56">
        <f>I107+I110+I113+I116+I117+I118+I119</f>
        <v>0</v>
      </c>
      <c r="J106" s="56">
        <f>J107+J110+J113+J116+J117+J118+J119</f>
        <v>0</v>
      </c>
      <c r="K106" s="56">
        <f>K107+K110+K113+K116+K117+K118+K119</f>
        <v>0</v>
      </c>
      <c r="L106" s="13"/>
      <c r="M106" s="24"/>
      <c r="P106" s="25"/>
    </row>
    <row r="107" spans="3:16" ht="45">
      <c r="C107" s="6"/>
      <c r="D107" s="54" t="s">
        <v>213</v>
      </c>
      <c r="E107" s="50" t="s">
        <v>214</v>
      </c>
      <c r="F107" s="22" t="s">
        <v>215</v>
      </c>
      <c r="G107" s="23">
        <f t="shared" si="0"/>
        <v>0</v>
      </c>
      <c r="H107" s="57">
        <f>H108+H109</f>
        <v>0</v>
      </c>
      <c r="I107" s="57">
        <f>I108+I109</f>
        <v>0</v>
      </c>
      <c r="J107" s="57">
        <f>J108+J109</f>
        <v>0</v>
      </c>
      <c r="K107" s="57">
        <f>K108+K109</f>
        <v>0</v>
      </c>
      <c r="L107" s="13"/>
      <c r="M107" s="24"/>
      <c r="P107" s="25"/>
    </row>
    <row r="108" spans="3:16" ht="15" customHeight="1">
      <c r="C108" s="6"/>
      <c r="D108" s="54" t="s">
        <v>216</v>
      </c>
      <c r="E108" s="58" t="s">
        <v>217</v>
      </c>
      <c r="F108" s="22" t="s">
        <v>218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15" customHeight="1">
      <c r="C109" s="6"/>
      <c r="D109" s="54" t="s">
        <v>219</v>
      </c>
      <c r="E109" s="58" t="s">
        <v>220</v>
      </c>
      <c r="F109" s="22" t="s">
        <v>221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45">
      <c r="C110" s="6"/>
      <c r="D110" s="54" t="s">
        <v>222</v>
      </c>
      <c r="E110" s="50" t="s">
        <v>223</v>
      </c>
      <c r="F110" s="22" t="s">
        <v>224</v>
      </c>
      <c r="G110" s="23">
        <f t="shared" si="0"/>
        <v>0</v>
      </c>
      <c r="H110" s="57">
        <f>H111+H112</f>
        <v>0</v>
      </c>
      <c r="I110" s="57">
        <f>I111+I112</f>
        <v>0</v>
      </c>
      <c r="J110" s="57">
        <f>J111+J112</f>
        <v>0</v>
      </c>
      <c r="K110" s="57">
        <f>K111+K112</f>
        <v>0</v>
      </c>
      <c r="L110" s="13"/>
      <c r="M110" s="24"/>
      <c r="P110" s="25"/>
    </row>
    <row r="111" spans="3:16" ht="15" customHeight="1">
      <c r="C111" s="6"/>
      <c r="D111" s="54" t="s">
        <v>225</v>
      </c>
      <c r="E111" s="58" t="s">
        <v>217</v>
      </c>
      <c r="F111" s="22" t="s">
        <v>226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>
      <c r="C112" s="6"/>
      <c r="D112" s="54" t="s">
        <v>227</v>
      </c>
      <c r="E112" s="58" t="s">
        <v>220</v>
      </c>
      <c r="F112" s="22" t="s">
        <v>228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229</v>
      </c>
      <c r="E113" s="50" t="s">
        <v>230</v>
      </c>
      <c r="F113" s="22" t="s">
        <v>231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>
      <c r="C114" s="6"/>
      <c r="D114" s="54" t="s">
        <v>232</v>
      </c>
      <c r="E114" s="58" t="s">
        <v>217</v>
      </c>
      <c r="F114" s="22" t="s">
        <v>233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234</v>
      </c>
      <c r="E115" s="58" t="s">
        <v>220</v>
      </c>
      <c r="F115" s="22" t="s">
        <v>235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5" customHeight="1">
      <c r="C116" s="6"/>
      <c r="D116" s="54" t="s">
        <v>236</v>
      </c>
      <c r="E116" s="50" t="s">
        <v>237</v>
      </c>
      <c r="F116" s="22" t="s">
        <v>238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5" customHeight="1">
      <c r="C117" s="6"/>
      <c r="D117" s="54" t="s">
        <v>239</v>
      </c>
      <c r="E117" s="50" t="s">
        <v>240</v>
      </c>
      <c r="F117" s="22" t="s">
        <v>241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9.5" customHeight="1">
      <c r="C118" s="6"/>
      <c r="D118" s="54" t="s">
        <v>242</v>
      </c>
      <c r="E118" s="50" t="s">
        <v>243</v>
      </c>
      <c r="F118" s="22" t="s">
        <v>244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3.5" customHeight="1">
      <c r="C119" s="6"/>
      <c r="D119" s="54" t="s">
        <v>245</v>
      </c>
      <c r="E119" s="50" t="s">
        <v>246</v>
      </c>
      <c r="F119" s="22" t="s">
        <v>247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248</v>
      </c>
      <c r="E120" s="26" t="s">
        <v>249</v>
      </c>
      <c r="F120" s="22" t="s">
        <v>250</v>
      </c>
      <c r="G120" s="23">
        <f t="shared" si="0"/>
        <v>0</v>
      </c>
      <c r="H120" s="56">
        <f>H123</f>
        <v>0</v>
      </c>
      <c r="I120" s="56">
        <f>I123</f>
        <v>0</v>
      </c>
      <c r="J120" s="56">
        <f>J123</f>
        <v>0</v>
      </c>
      <c r="K120" s="56">
        <f>K123</f>
        <v>0</v>
      </c>
      <c r="L120" s="13"/>
      <c r="M120" s="24"/>
      <c r="P120" s="25"/>
    </row>
    <row r="121" spans="3:16" ht="15" customHeight="1">
      <c r="C121" s="6"/>
      <c r="D121" s="54" t="s">
        <v>251</v>
      </c>
      <c r="E121" s="49" t="s">
        <v>193</v>
      </c>
      <c r="F121" s="22" t="s">
        <v>252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5" customHeight="1">
      <c r="C122" s="6"/>
      <c r="D122" s="54" t="s">
        <v>253</v>
      </c>
      <c r="E122" s="50" t="s">
        <v>254</v>
      </c>
      <c r="F122" s="22" t="s">
        <v>255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>
      <c r="C123" s="6"/>
      <c r="D123" s="54" t="s">
        <v>256</v>
      </c>
      <c r="E123" s="49" t="s">
        <v>199</v>
      </c>
      <c r="F123" s="22" t="s">
        <v>257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27" customHeight="1">
      <c r="C124" s="6"/>
      <c r="D124" s="54" t="s">
        <v>258</v>
      </c>
      <c r="E124" s="47" t="s">
        <v>259</v>
      </c>
      <c r="F124" s="22" t="s">
        <v>260</v>
      </c>
      <c r="G124" s="23">
        <f t="shared" si="0"/>
        <v>4577.2439999999997</v>
      </c>
      <c r="H124" s="56">
        <f>SUM(H125:H126)</f>
        <v>0</v>
      </c>
      <c r="I124" s="56">
        <f>SUM(I125:I126)</f>
        <v>3748.0940000000001</v>
      </c>
      <c r="J124" s="56">
        <f>SUM(J125:J126)</f>
        <v>247.691</v>
      </c>
      <c r="K124" s="56">
        <f>SUM(K125:K126)</f>
        <v>581.45899999999995</v>
      </c>
      <c r="L124" s="13"/>
      <c r="M124" s="24"/>
      <c r="P124" s="25"/>
    </row>
    <row r="125" spans="3:16" ht="15" customHeight="1">
      <c r="C125" s="6"/>
      <c r="D125" s="54" t="s">
        <v>261</v>
      </c>
      <c r="E125" s="26" t="s">
        <v>187</v>
      </c>
      <c r="F125" s="22" t="s">
        <v>262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>
      <c r="C126" s="6"/>
      <c r="D126" s="54" t="s">
        <v>263</v>
      </c>
      <c r="E126" s="26" t="s">
        <v>190</v>
      </c>
      <c r="F126" s="22" t="s">
        <v>264</v>
      </c>
      <c r="G126" s="23">
        <f t="shared" si="0"/>
        <v>4577.2439999999997</v>
      </c>
      <c r="H126" s="56">
        <f>H128</f>
        <v>0</v>
      </c>
      <c r="I126" s="56">
        <f>I128</f>
        <v>3748.0940000000001</v>
      </c>
      <c r="J126" s="56">
        <f>J128</f>
        <v>247.691</v>
      </c>
      <c r="K126" s="56">
        <f>K128</f>
        <v>581.45899999999995</v>
      </c>
      <c r="L126" s="13"/>
      <c r="M126" s="24"/>
      <c r="P126" s="25"/>
    </row>
    <row r="127" spans="3:16" ht="15" customHeight="1">
      <c r="C127" s="6"/>
      <c r="D127" s="54" t="s">
        <v>265</v>
      </c>
      <c r="E127" s="49" t="s">
        <v>266</v>
      </c>
      <c r="F127" s="22" t="s">
        <v>267</v>
      </c>
      <c r="G127" s="23">
        <f t="shared" si="0"/>
        <v>10.55</v>
      </c>
      <c r="H127" s="55"/>
      <c r="I127" s="55">
        <v>10.55</v>
      </c>
      <c r="J127" s="55"/>
      <c r="K127" s="55"/>
      <c r="L127" s="13"/>
      <c r="M127" s="24"/>
      <c r="P127" s="25"/>
    </row>
    <row r="128" spans="3:16" ht="15" customHeight="1">
      <c r="C128" s="6"/>
      <c r="D128" s="54" t="s">
        <v>268</v>
      </c>
      <c r="E128" s="49" t="s">
        <v>199</v>
      </c>
      <c r="F128" s="22" t="s">
        <v>269</v>
      </c>
      <c r="G128" s="23">
        <f t="shared" si="0"/>
        <v>4577.2439999999997</v>
      </c>
      <c r="H128" s="55"/>
      <c r="I128" s="55">
        <f>I34+G48</f>
        <v>3748.0940000000001</v>
      </c>
      <c r="J128" s="55">
        <f>J34</f>
        <v>247.691</v>
      </c>
      <c r="K128" s="55">
        <f>K34</f>
        <v>581.45899999999995</v>
      </c>
      <c r="L128" s="13"/>
      <c r="M128" s="24"/>
      <c r="P128" s="25"/>
    </row>
    <row r="129" spans="3:16" ht="15" customHeight="1">
      <c r="C129" s="6"/>
      <c r="D129" s="83" t="s">
        <v>270</v>
      </c>
      <c r="E129" s="84"/>
      <c r="F129" s="84"/>
      <c r="G129" s="84"/>
      <c r="H129" s="84"/>
      <c r="I129" s="84"/>
      <c r="J129" s="84"/>
      <c r="K129" s="85"/>
      <c r="L129" s="13"/>
      <c r="M129" s="24"/>
      <c r="P129" s="59"/>
    </row>
    <row r="130" spans="3:16" ht="22.5">
      <c r="C130" s="6"/>
      <c r="D130" s="54" t="s">
        <v>271</v>
      </c>
      <c r="E130" s="21" t="s">
        <v>272</v>
      </c>
      <c r="F130" s="22" t="s">
        <v>273</v>
      </c>
      <c r="G130" s="23">
        <f t="shared" si="0"/>
        <v>0</v>
      </c>
      <c r="H130" s="56">
        <f>SUM( H131:H132)</f>
        <v>0</v>
      </c>
      <c r="I130" s="56">
        <f>SUM( I131:I132)</f>
        <v>0</v>
      </c>
      <c r="J130" s="56">
        <f>SUM( J131:J132)</f>
        <v>0</v>
      </c>
      <c r="K130" s="56">
        <f>SUM( K131:K132)</f>
        <v>0</v>
      </c>
      <c r="L130" s="13"/>
      <c r="M130" s="24"/>
      <c r="P130" s="25"/>
    </row>
    <row r="131" spans="3:16" ht="15" customHeight="1">
      <c r="C131" s="6"/>
      <c r="D131" s="54" t="s">
        <v>274</v>
      </c>
      <c r="E131" s="26" t="s">
        <v>187</v>
      </c>
      <c r="F131" s="22" t="s">
        <v>275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>
      <c r="C132" s="6"/>
      <c r="D132" s="54" t="s">
        <v>276</v>
      </c>
      <c r="E132" s="26" t="s">
        <v>190</v>
      </c>
      <c r="F132" s="22" t="s">
        <v>277</v>
      </c>
      <c r="G132" s="23">
        <f t="shared" si="0"/>
        <v>0</v>
      </c>
      <c r="H132" s="56">
        <f>H133+H135</f>
        <v>0</v>
      </c>
      <c r="I132" s="56">
        <f>I133+I135</f>
        <v>0</v>
      </c>
      <c r="J132" s="56">
        <f>J133+J135</f>
        <v>0</v>
      </c>
      <c r="K132" s="56">
        <f>K133+K135</f>
        <v>0</v>
      </c>
      <c r="L132" s="13"/>
      <c r="M132" s="24"/>
      <c r="P132" s="25"/>
    </row>
    <row r="133" spans="3:16" ht="15" customHeight="1">
      <c r="C133" s="6"/>
      <c r="D133" s="54" t="s">
        <v>278</v>
      </c>
      <c r="E133" s="49" t="s">
        <v>279</v>
      </c>
      <c r="F133" s="22" t="s">
        <v>280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>
      <c r="C134" s="6"/>
      <c r="D134" s="54" t="s">
        <v>281</v>
      </c>
      <c r="E134" s="50" t="s">
        <v>282</v>
      </c>
      <c r="F134" s="22" t="s">
        <v>283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59"/>
    </row>
    <row r="135" spans="3:16" ht="15" customHeight="1">
      <c r="C135" s="6"/>
      <c r="D135" s="54" t="s">
        <v>284</v>
      </c>
      <c r="E135" s="49" t="s">
        <v>285</v>
      </c>
      <c r="F135" s="22" t="s">
        <v>286</v>
      </c>
      <c r="G135" s="23">
        <f t="shared" si="0"/>
        <v>0</v>
      </c>
      <c r="H135" s="55"/>
      <c r="I135" s="55"/>
      <c r="J135" s="55"/>
      <c r="K135" s="55"/>
      <c r="L135" s="13"/>
      <c r="M135" s="24"/>
      <c r="P135" s="25"/>
    </row>
    <row r="136" spans="3:16" ht="15" customHeight="1">
      <c r="C136" s="6"/>
      <c r="D136" s="54" t="s">
        <v>29</v>
      </c>
      <c r="E136" s="21" t="s">
        <v>287</v>
      </c>
      <c r="F136" s="22" t="s">
        <v>288</v>
      </c>
      <c r="G136" s="23">
        <f t="shared" si="0"/>
        <v>0</v>
      </c>
      <c r="H136" s="57">
        <f>SUM( H137+H142)</f>
        <v>0</v>
      </c>
      <c r="I136" s="57">
        <f>SUM( I137+I142)</f>
        <v>0</v>
      </c>
      <c r="J136" s="57">
        <f>SUM( J137+J142)</f>
        <v>0</v>
      </c>
      <c r="K136" s="57">
        <f>SUM( K137+K142)</f>
        <v>0</v>
      </c>
      <c r="L136" s="60"/>
      <c r="M136" s="24"/>
      <c r="P136" s="25"/>
    </row>
    <row r="137" spans="3:16" ht="15" customHeight="1">
      <c r="C137" s="6"/>
      <c r="D137" s="54" t="s">
        <v>289</v>
      </c>
      <c r="E137" s="26" t="s">
        <v>187</v>
      </c>
      <c r="F137" s="22" t="s">
        <v>290</v>
      </c>
      <c r="G137" s="23">
        <f t="shared" ref="G137:G150" si="1">SUM(H137:K137)</f>
        <v>0</v>
      </c>
      <c r="H137" s="57">
        <f>SUM( H138:H139)</f>
        <v>0</v>
      </c>
      <c r="I137" s="57">
        <f>SUM( I138:I139)</f>
        <v>0</v>
      </c>
      <c r="J137" s="57">
        <f>SUM( J138:J139)</f>
        <v>0</v>
      </c>
      <c r="K137" s="57">
        <f>SUM( K138:K139)</f>
        <v>0</v>
      </c>
      <c r="L137" s="60"/>
      <c r="M137" s="24"/>
      <c r="P137" s="25"/>
    </row>
    <row r="138" spans="3:16" ht="15" customHeight="1">
      <c r="C138" s="6"/>
      <c r="D138" s="54" t="s">
        <v>291</v>
      </c>
      <c r="E138" s="49" t="s">
        <v>208</v>
      </c>
      <c r="F138" s="22" t="s">
        <v>292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293</v>
      </c>
      <c r="E139" s="49" t="s">
        <v>211</v>
      </c>
      <c r="F139" s="22" t="s">
        <v>294</v>
      </c>
      <c r="G139" s="23">
        <f t="shared" si="1"/>
        <v>0</v>
      </c>
      <c r="H139" s="57">
        <f>H140+H141</f>
        <v>0</v>
      </c>
      <c r="I139" s="57">
        <f>I140+I141</f>
        <v>0</v>
      </c>
      <c r="J139" s="57">
        <f>J140+J141</f>
        <v>0</v>
      </c>
      <c r="K139" s="57">
        <f>K140+K141</f>
        <v>0</v>
      </c>
      <c r="L139" s="60"/>
      <c r="M139" s="24"/>
      <c r="P139" s="25"/>
    </row>
    <row r="140" spans="3:16" ht="15" customHeight="1">
      <c r="C140" s="6"/>
      <c r="D140" s="54" t="s">
        <v>295</v>
      </c>
      <c r="E140" s="50" t="s">
        <v>217</v>
      </c>
      <c r="F140" s="22" t="s">
        <v>296</v>
      </c>
      <c r="G140" s="23">
        <f t="shared" si="1"/>
        <v>0</v>
      </c>
      <c r="H140" s="61"/>
      <c r="I140" s="61"/>
      <c r="J140" s="61"/>
      <c r="K140" s="61"/>
      <c r="L140" s="60"/>
      <c r="M140" s="24"/>
      <c r="P140" s="25"/>
    </row>
    <row r="141" spans="3:16" ht="15" customHeight="1">
      <c r="C141" s="6"/>
      <c r="D141" s="54" t="s">
        <v>297</v>
      </c>
      <c r="E141" s="50" t="s">
        <v>298</v>
      </c>
      <c r="F141" s="22" t="s">
        <v>299</v>
      </c>
      <c r="G141" s="23">
        <f t="shared" si="1"/>
        <v>0</v>
      </c>
      <c r="H141" s="61"/>
      <c r="I141" s="61"/>
      <c r="J141" s="61"/>
      <c r="K141" s="61"/>
      <c r="L141" s="60"/>
      <c r="M141" s="24"/>
      <c r="P141" s="25"/>
    </row>
    <row r="142" spans="3:16" ht="15" customHeight="1">
      <c r="C142" s="6"/>
      <c r="D142" s="54" t="s">
        <v>300</v>
      </c>
      <c r="E142" s="26" t="s">
        <v>249</v>
      </c>
      <c r="F142" s="22" t="s">
        <v>301</v>
      </c>
      <c r="G142" s="23">
        <f t="shared" si="1"/>
        <v>0</v>
      </c>
      <c r="H142" s="57">
        <f>H143+H145</f>
        <v>0</v>
      </c>
      <c r="I142" s="57">
        <f>I143+I145</f>
        <v>0</v>
      </c>
      <c r="J142" s="57">
        <f>J143+J145</f>
        <v>0</v>
      </c>
      <c r="K142" s="57">
        <f>K143+K145</f>
        <v>0</v>
      </c>
      <c r="L142" s="60"/>
      <c r="M142" s="24"/>
      <c r="P142" s="25"/>
    </row>
    <row r="143" spans="3:16" ht="15" customHeight="1">
      <c r="C143" s="6"/>
      <c r="D143" s="54" t="s">
        <v>302</v>
      </c>
      <c r="E143" s="49" t="s">
        <v>279</v>
      </c>
      <c r="F143" s="22" t="s">
        <v>303</v>
      </c>
      <c r="G143" s="23">
        <f t="shared" si="1"/>
        <v>0</v>
      </c>
      <c r="H143" s="55"/>
      <c r="I143" s="55"/>
      <c r="J143" s="55"/>
      <c r="K143" s="55"/>
      <c r="L143" s="60"/>
      <c r="M143" s="24"/>
      <c r="P143" s="25"/>
    </row>
    <row r="144" spans="3:16" ht="15" customHeight="1">
      <c r="C144" s="6"/>
      <c r="D144" s="54" t="s">
        <v>304</v>
      </c>
      <c r="E144" s="50" t="s">
        <v>282</v>
      </c>
      <c r="F144" s="22" t="s">
        <v>305</v>
      </c>
      <c r="G144" s="23">
        <f t="shared" si="1"/>
        <v>0</v>
      </c>
      <c r="H144" s="55"/>
      <c r="I144" s="55"/>
      <c r="J144" s="55"/>
      <c r="K144" s="55"/>
      <c r="L144" s="60"/>
      <c r="M144" s="24"/>
      <c r="P144" s="25"/>
    </row>
    <row r="145" spans="3:19" ht="15" customHeight="1">
      <c r="C145" s="6"/>
      <c r="D145" s="54" t="s">
        <v>306</v>
      </c>
      <c r="E145" s="49" t="s">
        <v>285</v>
      </c>
      <c r="F145" s="22" t="s">
        <v>307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/>
    </row>
    <row r="146" spans="3:19" ht="28.5" customHeight="1">
      <c r="C146" s="6"/>
      <c r="D146" s="54" t="s">
        <v>308</v>
      </c>
      <c r="E146" s="21" t="s">
        <v>309</v>
      </c>
      <c r="F146" s="22" t="s">
        <v>310</v>
      </c>
      <c r="G146" s="23">
        <f t="shared" si="1"/>
        <v>2574.1006898600003</v>
      </c>
      <c r="H146" s="63">
        <f>SUM( H147:H148)</f>
        <v>0</v>
      </c>
      <c r="I146" s="63">
        <f>SUM( I147:I148)</f>
        <v>2437.3406888600002</v>
      </c>
      <c r="J146" s="63">
        <f>SUM( J147:J148)</f>
        <v>40.854153539999999</v>
      </c>
      <c r="K146" s="63">
        <f>SUM( K147:K148)</f>
        <v>95.90584745999999</v>
      </c>
      <c r="L146" s="60"/>
      <c r="M146" s="24"/>
      <c r="P146" s="25"/>
    </row>
    <row r="147" spans="3:19" ht="15" customHeight="1">
      <c r="C147" s="6"/>
      <c r="D147" s="54" t="s">
        <v>311</v>
      </c>
      <c r="E147" s="26" t="s">
        <v>187</v>
      </c>
      <c r="F147" s="22" t="s">
        <v>312</v>
      </c>
      <c r="G147" s="23">
        <f t="shared" si="1"/>
        <v>0</v>
      </c>
      <c r="H147" s="62"/>
      <c r="I147" s="62"/>
      <c r="J147" s="62"/>
      <c r="K147" s="62"/>
      <c r="L147" s="60"/>
      <c r="M147" s="24"/>
      <c r="P147" s="25"/>
    </row>
    <row r="148" spans="3:19" ht="15" customHeight="1">
      <c r="C148" s="6"/>
      <c r="D148" s="54" t="s">
        <v>313</v>
      </c>
      <c r="E148" s="26" t="s">
        <v>190</v>
      </c>
      <c r="F148" s="22" t="s">
        <v>314</v>
      </c>
      <c r="G148" s="23">
        <f t="shared" si="1"/>
        <v>2574.1006898600003</v>
      </c>
      <c r="H148" s="63">
        <f>H149+H150</f>
        <v>0</v>
      </c>
      <c r="I148" s="63">
        <f>I149+I150</f>
        <v>2437.3406888600002</v>
      </c>
      <c r="J148" s="63">
        <f>J149+J150</f>
        <v>40.854153539999999</v>
      </c>
      <c r="K148" s="63">
        <f>K149+K150</f>
        <v>95.90584745999999</v>
      </c>
      <c r="L148" s="60"/>
      <c r="M148" s="24"/>
      <c r="P148" s="25"/>
    </row>
    <row r="149" spans="3:19" ht="15" customHeight="1">
      <c r="C149" s="6"/>
      <c r="D149" s="54" t="s">
        <v>315</v>
      </c>
      <c r="E149" s="49" t="s">
        <v>316</v>
      </c>
      <c r="F149" s="22" t="s">
        <v>317</v>
      </c>
      <c r="G149" s="23">
        <f t="shared" si="1"/>
        <v>1819.1300645000003</v>
      </c>
      <c r="H149" s="62"/>
      <c r="I149" s="55">
        <f>I127*172429.39/1000</f>
        <v>1819.1300645000003</v>
      </c>
      <c r="J149" s="55"/>
      <c r="K149" s="55"/>
      <c r="L149" s="60"/>
      <c r="M149" s="24"/>
      <c r="P149" s="25"/>
    </row>
    <row r="150" spans="3:19" ht="15" customHeight="1">
      <c r="C150" s="6"/>
      <c r="D150" s="54" t="s">
        <v>319</v>
      </c>
      <c r="E150" s="49" t="s">
        <v>285</v>
      </c>
      <c r="F150" s="22" t="s">
        <v>320</v>
      </c>
      <c r="G150" s="23">
        <f t="shared" si="1"/>
        <v>754.97062535999999</v>
      </c>
      <c r="H150" s="62"/>
      <c r="I150" s="55">
        <f>I128*0.16494</f>
        <v>618.21062436</v>
      </c>
      <c r="J150" s="55">
        <f>J128*0.16494</f>
        <v>40.854153539999999</v>
      </c>
      <c r="K150" s="55">
        <f>K128*0.16494</f>
        <v>95.90584745999999</v>
      </c>
      <c r="L150" s="60"/>
      <c r="M150" s="24"/>
      <c r="P150" s="25"/>
    </row>
    <row r="151" spans="3:19">
      <c r="D151" s="11"/>
      <c r="E151" s="64"/>
      <c r="F151" s="64"/>
      <c r="G151" s="64"/>
      <c r="H151" s="64"/>
      <c r="I151" s="64"/>
      <c r="J151" s="64"/>
      <c r="K151" s="65"/>
      <c r="L151" s="65"/>
      <c r="M151" s="65"/>
      <c r="N151" s="65"/>
      <c r="O151" s="65"/>
      <c r="P151" s="65"/>
      <c r="Q151" s="65"/>
      <c r="R151" s="66"/>
      <c r="S151" s="66"/>
    </row>
    <row r="152" spans="3:19" ht="12.75">
      <c r="E152" s="24" t="s">
        <v>322</v>
      </c>
      <c r="F152" s="76" t="str">
        <f>IF([5]Титульный!G45="","",[5]Титульный!G45)</f>
        <v>экономист</v>
      </c>
      <c r="G152" s="76"/>
      <c r="H152" s="67"/>
      <c r="I152" s="76" t="str">
        <f>IF([5]Титульный!G44="","",[5]Титульный!G44)</f>
        <v>Гизикова А.Н.</v>
      </c>
      <c r="J152" s="76"/>
      <c r="K152" s="76"/>
      <c r="L152" s="67"/>
      <c r="M152" s="68"/>
      <c r="N152" s="68"/>
      <c r="O152" s="69"/>
      <c r="P152" s="65"/>
      <c r="Q152" s="65"/>
      <c r="R152" s="66"/>
      <c r="S152" s="66"/>
    </row>
    <row r="153" spans="3:19" ht="12.75">
      <c r="E153" s="70" t="s">
        <v>323</v>
      </c>
      <c r="F153" s="86" t="s">
        <v>324</v>
      </c>
      <c r="G153" s="86"/>
      <c r="H153" s="69"/>
      <c r="I153" s="86" t="s">
        <v>325</v>
      </c>
      <c r="J153" s="86"/>
      <c r="K153" s="86"/>
      <c r="L153" s="69"/>
      <c r="M153" s="86" t="s">
        <v>326</v>
      </c>
      <c r="N153" s="86"/>
      <c r="O153" s="24"/>
      <c r="P153" s="65"/>
      <c r="Q153" s="65"/>
      <c r="R153" s="66"/>
      <c r="S153" s="66"/>
    </row>
    <row r="154" spans="3:19" ht="12.75">
      <c r="E154" s="70" t="s">
        <v>327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65"/>
      <c r="Q154" s="65"/>
      <c r="R154" s="66"/>
      <c r="S154" s="66"/>
    </row>
    <row r="155" spans="3:19" ht="12.75">
      <c r="E155" s="70" t="s">
        <v>328</v>
      </c>
      <c r="F155" s="76" t="str">
        <f>IF([5]Титульный!G46="","",[5]Титульный!G46)</f>
        <v>(861) 258-50-71</v>
      </c>
      <c r="G155" s="76"/>
      <c r="H155" s="76"/>
      <c r="I155" s="24"/>
      <c r="J155" s="70" t="s">
        <v>329</v>
      </c>
      <c r="K155" s="71"/>
      <c r="L155" s="24"/>
      <c r="M155" s="24"/>
      <c r="N155" s="24"/>
      <c r="O155" s="24"/>
      <c r="P155" s="65"/>
      <c r="Q155" s="65"/>
      <c r="R155" s="66"/>
      <c r="S155" s="66"/>
    </row>
    <row r="156" spans="3:19" ht="12.75">
      <c r="E156" s="24" t="s">
        <v>330</v>
      </c>
      <c r="F156" s="87" t="s">
        <v>331</v>
      </c>
      <c r="G156" s="87"/>
      <c r="H156" s="87"/>
      <c r="I156" s="24"/>
      <c r="J156" s="72" t="s">
        <v>332</v>
      </c>
      <c r="K156" s="72"/>
      <c r="L156" s="24"/>
      <c r="M156" s="24"/>
      <c r="N156" s="24"/>
      <c r="O156" s="24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  <row r="184" spans="5:19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</row>
    <row r="185" spans="5:19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81 E65 E58 E19 E42"/>
    <dataValidation type="decimal" allowBlank="1" showErrorMessage="1" errorTitle="Ошибка" error="Допускается ввод только действительных чисел!" sqref="G24:K26 J67:K81 G67:H81 I67:I75 I77:I81 G21:K22 G60:K61 G130:K150 G28:K42 G44:K52 G63:K65 G97:K128 G83:K91 G93:K95 G15:K19 G54:H58 I54:K57 K58 I58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indexed="31"/>
  </sheetPr>
  <dimension ref="A1:CC185"/>
  <sheetViews>
    <sheetView topLeftCell="C7" workbookViewId="0">
      <selection activeCell="L19" sqref="L19:Q150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337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3968.759</v>
      </c>
      <c r="H15" s="23">
        <f>H16+H17+H21+H24</f>
        <v>0</v>
      </c>
      <c r="I15" s="23">
        <f>I16+I17+I21+I24</f>
        <v>3967.39</v>
      </c>
      <c r="J15" s="23">
        <f>J16+J17+J21+J24</f>
        <v>1.369</v>
      </c>
      <c r="K15" s="23">
        <f>K16+K17+K21+K24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6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1.369</v>
      </c>
      <c r="H17" s="23">
        <f>SUM(H18:H20)</f>
        <v>0</v>
      </c>
      <c r="I17" s="23">
        <f>SUM(I18:I20)</f>
        <v>0</v>
      </c>
      <c r="J17" s="23">
        <f>SUM(J18:J20)</f>
        <v>1.369</v>
      </c>
      <c r="K17" s="23">
        <f>SUM(K18:K20)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32" t="s">
        <v>30</v>
      </c>
      <c r="D19" s="33" t="s">
        <v>31</v>
      </c>
      <c r="E19" s="34" t="s">
        <v>32</v>
      </c>
      <c r="F19" s="35">
        <v>31</v>
      </c>
      <c r="G19" s="36">
        <f>SUM(H19:K19)</f>
        <v>1.369</v>
      </c>
      <c r="H19" s="37"/>
      <c r="I19" s="37"/>
      <c r="J19" s="37">
        <v>1.369</v>
      </c>
      <c r="K19" s="38"/>
      <c r="L19" s="19"/>
      <c r="M19" s="39"/>
      <c r="N19" s="40"/>
      <c r="O19" s="40"/>
    </row>
    <row r="20" spans="3:16" s="17" customFormat="1" ht="15" customHeight="1">
      <c r="C20" s="18"/>
      <c r="D20" s="41"/>
      <c r="E20" s="42" t="s">
        <v>33</v>
      </c>
      <c r="F20" s="43"/>
      <c r="G20" s="43"/>
      <c r="H20" s="43"/>
      <c r="I20" s="43"/>
      <c r="J20" s="43"/>
      <c r="K20" s="44"/>
      <c r="L20" s="19"/>
      <c r="M20" s="24"/>
      <c r="P20" s="45"/>
    </row>
    <row r="21" spans="3:16" s="17" customFormat="1" ht="15" customHeight="1">
      <c r="C21" s="18"/>
      <c r="D21" s="20" t="s">
        <v>34</v>
      </c>
      <c r="E21" s="26" t="s">
        <v>35</v>
      </c>
      <c r="F21" s="22" t="s">
        <v>36</v>
      </c>
      <c r="G21" s="23">
        <f t="shared" si="0"/>
        <v>0</v>
      </c>
      <c r="H21" s="23">
        <f>SUM(H22:H23)</f>
        <v>0</v>
      </c>
      <c r="I21" s="23">
        <f>SUM(I22:I23)</f>
        <v>0</v>
      </c>
      <c r="J21" s="23">
        <f>SUM(J22:J23)</f>
        <v>0</v>
      </c>
      <c r="K21" s="23">
        <f>SUM(K22:K23)</f>
        <v>0</v>
      </c>
      <c r="L21" s="19"/>
      <c r="M21" s="24"/>
      <c r="P21" s="45"/>
    </row>
    <row r="22" spans="3:16" s="17" customFormat="1" ht="12.75" hidden="1">
      <c r="C22" s="18"/>
      <c r="D22" s="28" t="s">
        <v>37</v>
      </c>
      <c r="E22" s="29"/>
      <c r="F22" s="30" t="s">
        <v>36</v>
      </c>
      <c r="G22" s="31"/>
      <c r="H22" s="31"/>
      <c r="I22" s="31"/>
      <c r="J22" s="31"/>
      <c r="K22" s="31"/>
      <c r="L22" s="19"/>
      <c r="M22" s="24"/>
      <c r="P22" s="25"/>
    </row>
    <row r="23" spans="3:16" s="17" customFormat="1" ht="15" customHeight="1">
      <c r="C23" s="18"/>
      <c r="D23" s="41"/>
      <c r="E23" s="42" t="s">
        <v>33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>
      <c r="C24" s="18"/>
      <c r="D24" s="20" t="s">
        <v>38</v>
      </c>
      <c r="E24" s="26" t="s">
        <v>39</v>
      </c>
      <c r="F24" s="22" t="s">
        <v>40</v>
      </c>
      <c r="G24" s="23">
        <f t="shared" si="0"/>
        <v>3967.39</v>
      </c>
      <c r="H24" s="23">
        <f>SUM(H25:H27)</f>
        <v>0</v>
      </c>
      <c r="I24" s="23">
        <f>SUM(I25:I27)</f>
        <v>3967.39</v>
      </c>
      <c r="J24" s="23">
        <f>SUM(J25:J27)</f>
        <v>0</v>
      </c>
      <c r="K24" s="23">
        <f>SUM(K25:K27)</f>
        <v>0</v>
      </c>
      <c r="L24" s="19"/>
      <c r="M24" s="24"/>
      <c r="P24" s="25"/>
    </row>
    <row r="25" spans="3:16" s="17" customFormat="1" ht="12.75" hidden="1">
      <c r="C25" s="18"/>
      <c r="D25" s="28" t="s">
        <v>41</v>
      </c>
      <c r="E25" s="29"/>
      <c r="F25" s="30" t="s">
        <v>40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>
      <c r="C26" s="32" t="s">
        <v>30</v>
      </c>
      <c r="D26" s="33" t="s">
        <v>42</v>
      </c>
      <c r="E26" s="34" t="s">
        <v>43</v>
      </c>
      <c r="F26" s="35">
        <v>431</v>
      </c>
      <c r="G26" s="36">
        <f>SUM(H26:K26)</f>
        <v>3967.39</v>
      </c>
      <c r="H26" s="37"/>
      <c r="I26" s="37">
        <v>3967.39</v>
      </c>
      <c r="J26" s="37"/>
      <c r="K26" s="38"/>
      <c r="L26" s="19"/>
      <c r="M26" s="39"/>
      <c r="N26" s="40"/>
      <c r="O26" s="40"/>
    </row>
    <row r="27" spans="3:16" s="17" customFormat="1" ht="15" customHeight="1">
      <c r="C27" s="18"/>
      <c r="D27" s="41"/>
      <c r="E27" s="42" t="s">
        <v>33</v>
      </c>
      <c r="F27" s="43"/>
      <c r="G27" s="43"/>
      <c r="H27" s="43"/>
      <c r="I27" s="43"/>
      <c r="J27" s="43"/>
      <c r="K27" s="44"/>
      <c r="L27" s="19"/>
      <c r="M27" s="24"/>
      <c r="P27" s="25"/>
    </row>
    <row r="28" spans="3:16" s="17" customFormat="1" ht="15" customHeight="1">
      <c r="C28" s="18"/>
      <c r="D28" s="20" t="s">
        <v>44</v>
      </c>
      <c r="E28" s="21" t="s">
        <v>45</v>
      </c>
      <c r="F28" s="22" t="s">
        <v>46</v>
      </c>
      <c r="G28" s="23">
        <f t="shared" si="0"/>
        <v>1484.098</v>
      </c>
      <c r="H28" s="23">
        <f>H30+H31+H32</f>
        <v>0</v>
      </c>
      <c r="I28" s="23">
        <f>I29+I31+I32</f>
        <v>0</v>
      </c>
      <c r="J28" s="23">
        <f>J29+J30+J32</f>
        <v>877.5</v>
      </c>
      <c r="K28" s="23">
        <f>K29+K30+K31</f>
        <v>606.59799999999996</v>
      </c>
      <c r="L28" s="19"/>
      <c r="M28" s="24"/>
      <c r="P28" s="25"/>
    </row>
    <row r="29" spans="3:16" s="17" customFormat="1" ht="15" customHeight="1">
      <c r="C29" s="18"/>
      <c r="D29" s="20" t="s">
        <v>47</v>
      </c>
      <c r="E29" s="26" t="s">
        <v>17</v>
      </c>
      <c r="F29" s="22" t="s">
        <v>48</v>
      </c>
      <c r="G29" s="23">
        <f t="shared" si="0"/>
        <v>0</v>
      </c>
      <c r="H29" s="46"/>
      <c r="I29" s="27"/>
      <c r="J29" s="27"/>
      <c r="K29" s="27"/>
      <c r="L29" s="19"/>
      <c r="M29" s="24"/>
      <c r="P29" s="25"/>
    </row>
    <row r="30" spans="3:16" s="17" customFormat="1" ht="15" customHeight="1">
      <c r="C30" s="18"/>
      <c r="D30" s="20" t="s">
        <v>49</v>
      </c>
      <c r="E30" s="26" t="s">
        <v>18</v>
      </c>
      <c r="F30" s="22" t="s">
        <v>50</v>
      </c>
      <c r="G30" s="23">
        <f t="shared" si="0"/>
        <v>877.5</v>
      </c>
      <c r="H30" s="27"/>
      <c r="I30" s="46"/>
      <c r="J30" s="27">
        <f>I15-I34-I48</f>
        <v>877.5</v>
      </c>
      <c r="K30" s="27"/>
      <c r="L30" s="19"/>
      <c r="M30" s="24"/>
      <c r="P30" s="25"/>
    </row>
    <row r="31" spans="3:16" s="17" customFormat="1" ht="15" customHeight="1">
      <c r="C31" s="18"/>
      <c r="D31" s="20" t="s">
        <v>51</v>
      </c>
      <c r="E31" s="26" t="s">
        <v>19</v>
      </c>
      <c r="F31" s="22" t="s">
        <v>52</v>
      </c>
      <c r="G31" s="23">
        <f t="shared" si="0"/>
        <v>606.59799999999996</v>
      </c>
      <c r="H31" s="27"/>
      <c r="I31" s="27"/>
      <c r="J31" s="46"/>
      <c r="K31" s="27">
        <f>J15+J28-J34-J48</f>
        <v>606.59799999999996</v>
      </c>
      <c r="L31" s="19"/>
      <c r="M31" s="24"/>
      <c r="P31" s="25"/>
    </row>
    <row r="32" spans="3:16" s="17" customFormat="1" ht="15" customHeight="1">
      <c r="C32" s="18"/>
      <c r="D32" s="20" t="s">
        <v>53</v>
      </c>
      <c r="E32" s="26" t="s">
        <v>54</v>
      </c>
      <c r="F32" s="22" t="s">
        <v>55</v>
      </c>
      <c r="G32" s="23">
        <f t="shared" si="0"/>
        <v>0</v>
      </c>
      <c r="H32" s="27"/>
      <c r="I32" s="27"/>
      <c r="J32" s="27"/>
      <c r="K32" s="46"/>
      <c r="L32" s="19"/>
      <c r="M32" s="24"/>
      <c r="P32" s="25"/>
    </row>
    <row r="33" spans="3:16" s="17" customFormat="1" ht="15" customHeight="1">
      <c r="C33" s="18"/>
      <c r="D33" s="20" t="s">
        <v>56</v>
      </c>
      <c r="E33" s="47" t="s">
        <v>57</v>
      </c>
      <c r="F33" s="22" t="s">
        <v>58</v>
      </c>
      <c r="G33" s="23">
        <f t="shared" si="0"/>
        <v>0</v>
      </c>
      <c r="H33" s="27"/>
      <c r="I33" s="27"/>
      <c r="J33" s="27"/>
      <c r="K33" s="27"/>
      <c r="L33" s="19"/>
      <c r="M33" s="24"/>
      <c r="P33" s="25"/>
    </row>
    <row r="34" spans="3:16" s="17" customFormat="1" ht="15" customHeight="1">
      <c r="C34" s="18"/>
      <c r="D34" s="20" t="s">
        <v>59</v>
      </c>
      <c r="E34" s="21" t="s">
        <v>60</v>
      </c>
      <c r="F34" s="48" t="s">
        <v>61</v>
      </c>
      <c r="G34" s="23">
        <f t="shared" si="0"/>
        <v>3895.3419999999996</v>
      </c>
      <c r="H34" s="23">
        <f>H35+H37+H40+H44</f>
        <v>0</v>
      </c>
      <c r="I34" s="23">
        <f>I35+I37+I40+I44</f>
        <v>3057.37</v>
      </c>
      <c r="J34" s="23">
        <f>J35+J37+J40+J44</f>
        <v>269.14699999999999</v>
      </c>
      <c r="K34" s="23">
        <f>K35+K37+K40+K44</f>
        <v>568.82500000000005</v>
      </c>
      <c r="L34" s="19"/>
      <c r="M34" s="24"/>
      <c r="P34" s="25"/>
    </row>
    <row r="35" spans="3:16" s="17" customFormat="1" ht="22.5">
      <c r="C35" s="18"/>
      <c r="D35" s="20" t="s">
        <v>62</v>
      </c>
      <c r="E35" s="26" t="s">
        <v>63</v>
      </c>
      <c r="F35" s="22" t="s">
        <v>64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65</v>
      </c>
      <c r="E36" s="49" t="s">
        <v>66</v>
      </c>
      <c r="F36" s="22" t="s">
        <v>67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>
      <c r="C37" s="18"/>
      <c r="D37" s="20" t="s">
        <v>68</v>
      </c>
      <c r="E37" s="26" t="s">
        <v>69</v>
      </c>
      <c r="F37" s="22" t="s">
        <v>70</v>
      </c>
      <c r="G37" s="23">
        <f t="shared" si="0"/>
        <v>1606.3420000000001</v>
      </c>
      <c r="H37" s="27"/>
      <c r="I37" s="27">
        <v>768.37</v>
      </c>
      <c r="J37" s="27">
        <v>269.14699999999999</v>
      </c>
      <c r="K37" s="27">
        <v>568.82500000000005</v>
      </c>
      <c r="L37" s="19"/>
      <c r="M37" s="24"/>
      <c r="P37" s="25"/>
    </row>
    <row r="38" spans="3:16" s="17" customFormat="1" ht="15" customHeight="1">
      <c r="C38" s="18"/>
      <c r="D38" s="20" t="s">
        <v>71</v>
      </c>
      <c r="E38" s="49" t="s">
        <v>72</v>
      </c>
      <c r="F38" s="22" t="s">
        <v>73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74</v>
      </c>
      <c r="E39" s="50" t="s">
        <v>66</v>
      </c>
      <c r="F39" s="22" t="s">
        <v>75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>
      <c r="C40" s="18"/>
      <c r="D40" s="20" t="s">
        <v>76</v>
      </c>
      <c r="E40" s="26" t="s">
        <v>77</v>
      </c>
      <c r="F40" s="22" t="s">
        <v>78</v>
      </c>
      <c r="G40" s="23">
        <f t="shared" si="0"/>
        <v>2289</v>
      </c>
      <c r="H40" s="23">
        <f>SUM(H41:H43)</f>
        <v>0</v>
      </c>
      <c r="I40" s="23">
        <f>SUM(I41:I43)</f>
        <v>2289</v>
      </c>
      <c r="J40" s="23">
        <f>SUM(J41:J43)</f>
        <v>0</v>
      </c>
      <c r="K40" s="23">
        <f>SUM(K41:K43)</f>
        <v>0</v>
      </c>
      <c r="L40" s="19"/>
      <c r="M40" s="24"/>
      <c r="P40" s="25"/>
    </row>
    <row r="41" spans="3:16" s="17" customFormat="1" ht="12.75" hidden="1">
      <c r="C41" s="18"/>
      <c r="D41" s="28" t="s">
        <v>79</v>
      </c>
      <c r="E41" s="29"/>
      <c r="F41" s="30" t="s">
        <v>78</v>
      </c>
      <c r="G41" s="31"/>
      <c r="H41" s="31"/>
      <c r="I41" s="31"/>
      <c r="J41" s="31"/>
      <c r="K41" s="31"/>
      <c r="L41" s="19"/>
      <c r="M41" s="24"/>
      <c r="P41" s="25"/>
    </row>
    <row r="42" spans="3:16" s="17" customFormat="1" ht="15" customHeight="1">
      <c r="C42" s="32" t="s">
        <v>30</v>
      </c>
      <c r="D42" s="33" t="s">
        <v>80</v>
      </c>
      <c r="E42" s="34" t="s">
        <v>81</v>
      </c>
      <c r="F42" s="35">
        <v>751</v>
      </c>
      <c r="G42" s="36">
        <f>SUM(H42:K42)</f>
        <v>2289</v>
      </c>
      <c r="H42" s="37"/>
      <c r="I42" s="37">
        <v>2289</v>
      </c>
      <c r="J42" s="37"/>
      <c r="K42" s="38"/>
      <c r="L42" s="19"/>
      <c r="M42" s="39"/>
      <c r="N42" s="40"/>
      <c r="O42" s="40"/>
    </row>
    <row r="43" spans="3:16" s="17" customFormat="1" ht="15" customHeight="1">
      <c r="C43" s="18"/>
      <c r="D43" s="51"/>
      <c r="E43" s="42" t="s">
        <v>33</v>
      </c>
      <c r="F43" s="43"/>
      <c r="G43" s="43"/>
      <c r="H43" s="43"/>
      <c r="I43" s="43"/>
      <c r="J43" s="43"/>
      <c r="K43" s="44"/>
      <c r="L43" s="19"/>
      <c r="M43" s="24"/>
      <c r="P43" s="25"/>
    </row>
    <row r="44" spans="3:16" s="17" customFormat="1" ht="15" customHeight="1">
      <c r="C44" s="18"/>
      <c r="D44" s="20" t="s">
        <v>82</v>
      </c>
      <c r="E44" s="52" t="s">
        <v>83</v>
      </c>
      <c r="F44" s="22" t="s">
        <v>84</v>
      </c>
      <c r="G44" s="23">
        <f t="shared" si="0"/>
        <v>0</v>
      </c>
      <c r="H44" s="27"/>
      <c r="I44" s="27"/>
      <c r="J44" s="27"/>
      <c r="K44" s="27"/>
      <c r="L44" s="19"/>
      <c r="M44" s="24"/>
      <c r="P44" s="25"/>
    </row>
    <row r="45" spans="3:16" s="17" customFormat="1" ht="15" customHeight="1">
      <c r="C45" s="18"/>
      <c r="D45" s="20" t="s">
        <v>85</v>
      </c>
      <c r="E45" s="21" t="s">
        <v>86</v>
      </c>
      <c r="F45" s="22" t="s">
        <v>87</v>
      </c>
      <c r="G45" s="23">
        <f t="shared" si="0"/>
        <v>1484.098</v>
      </c>
      <c r="H45" s="27"/>
      <c r="I45" s="27">
        <f>I15-I34-I48</f>
        <v>877.5</v>
      </c>
      <c r="J45" s="27">
        <f>J19+J30-J37-J48</f>
        <v>606.59799999999996</v>
      </c>
      <c r="K45" s="27"/>
      <c r="L45" s="19"/>
      <c r="M45" s="24"/>
      <c r="P45" s="25"/>
    </row>
    <row r="46" spans="3:16" s="17" customFormat="1" ht="15" customHeight="1">
      <c r="C46" s="18"/>
      <c r="D46" s="20" t="s">
        <v>88</v>
      </c>
      <c r="E46" s="21" t="s">
        <v>89</v>
      </c>
      <c r="F46" s="22" t="s">
        <v>90</v>
      </c>
      <c r="G46" s="23">
        <f t="shared" si="0"/>
        <v>0</v>
      </c>
      <c r="H46" s="27"/>
      <c r="I46" s="27"/>
      <c r="J46" s="27"/>
      <c r="K46" s="27"/>
      <c r="L46" s="19"/>
      <c r="M46" s="24"/>
      <c r="P46" s="25"/>
    </row>
    <row r="47" spans="3:16" s="17" customFormat="1" ht="15" customHeight="1">
      <c r="C47" s="18"/>
      <c r="D47" s="20" t="s">
        <v>91</v>
      </c>
      <c r="E47" s="21" t="s">
        <v>92</v>
      </c>
      <c r="F47" s="22" t="s">
        <v>93</v>
      </c>
      <c r="G47" s="23">
        <f t="shared" si="0"/>
        <v>0</v>
      </c>
      <c r="H47" s="27"/>
      <c r="I47" s="27"/>
      <c r="J47" s="27"/>
      <c r="K47" s="27"/>
      <c r="L47" s="19"/>
      <c r="M47" s="24"/>
      <c r="P47" s="25"/>
    </row>
    <row r="48" spans="3:16" s="17" customFormat="1" ht="15" customHeight="1">
      <c r="C48" s="18"/>
      <c r="D48" s="20" t="s">
        <v>94</v>
      </c>
      <c r="E48" s="21" t="s">
        <v>95</v>
      </c>
      <c r="F48" s="22" t="s">
        <v>96</v>
      </c>
      <c r="G48" s="23">
        <f t="shared" si="0"/>
        <v>73.417000000000002</v>
      </c>
      <c r="H48" s="27"/>
      <c r="I48" s="27">
        <v>32.520000000000003</v>
      </c>
      <c r="J48" s="27">
        <v>3.1240000000000001</v>
      </c>
      <c r="K48" s="27">
        <v>37.773000000000003</v>
      </c>
      <c r="L48" s="19"/>
      <c r="M48" s="24"/>
      <c r="P48" s="25"/>
    </row>
    <row r="49" spans="3:16" s="17" customFormat="1" ht="15" customHeight="1">
      <c r="C49" s="18"/>
      <c r="D49" s="20" t="s">
        <v>97</v>
      </c>
      <c r="E49" s="26" t="s">
        <v>98</v>
      </c>
      <c r="F49" s="22" t="s">
        <v>99</v>
      </c>
      <c r="G49" s="23">
        <f t="shared" si="0"/>
        <v>0</v>
      </c>
      <c r="H49" s="27"/>
      <c r="I49" s="27"/>
      <c r="J49" s="27"/>
      <c r="K49" s="27"/>
      <c r="L49" s="19"/>
      <c r="M49" s="24"/>
      <c r="P49" s="25"/>
    </row>
    <row r="50" spans="3:16" s="17" customFormat="1" ht="15" customHeight="1">
      <c r="C50" s="18"/>
      <c r="D50" s="20" t="s">
        <v>100</v>
      </c>
      <c r="E50" s="21" t="s">
        <v>101</v>
      </c>
      <c r="F50" s="22" t="s">
        <v>102</v>
      </c>
      <c r="G50" s="23">
        <f t="shared" si="0"/>
        <v>250</v>
      </c>
      <c r="H50" s="27"/>
      <c r="I50" s="27">
        <v>42.342636551804283</v>
      </c>
      <c r="J50" s="27">
        <v>97.863078355355825</v>
      </c>
      <c r="K50" s="27">
        <v>109.79428509283989</v>
      </c>
      <c r="L50" s="19"/>
      <c r="M50" s="24"/>
      <c r="P50" s="45"/>
    </row>
    <row r="51" spans="3:16" s="17" customFormat="1" ht="33.75">
      <c r="C51" s="18"/>
      <c r="D51" s="20" t="s">
        <v>103</v>
      </c>
      <c r="E51" s="47" t="s">
        <v>104</v>
      </c>
      <c r="F51" s="22" t="s">
        <v>105</v>
      </c>
      <c r="G51" s="23">
        <f t="shared" si="0"/>
        <v>-176.583</v>
      </c>
      <c r="H51" s="23">
        <f>H48-H50</f>
        <v>0</v>
      </c>
      <c r="I51" s="23">
        <f>I48-I50</f>
        <v>-9.8226365518042797</v>
      </c>
      <c r="J51" s="23">
        <f>J48-J50</f>
        <v>-94.739078355355829</v>
      </c>
      <c r="K51" s="23">
        <f>K48-K50</f>
        <v>-72.021285092839889</v>
      </c>
      <c r="L51" s="19"/>
      <c r="M51" s="24"/>
      <c r="P51" s="45"/>
    </row>
    <row r="52" spans="3:16" s="17" customFormat="1" ht="15" customHeight="1">
      <c r="C52" s="18"/>
      <c r="D52" s="20" t="s">
        <v>106</v>
      </c>
      <c r="E52" s="21" t="s">
        <v>107</v>
      </c>
      <c r="F52" s="22" t="s">
        <v>108</v>
      </c>
      <c r="G52" s="23">
        <f t="shared" si="0"/>
        <v>0</v>
      </c>
      <c r="H52" s="23">
        <f>(H15+H28+H33)-(H34+H45+H46+H47+H48)</f>
        <v>0</v>
      </c>
      <c r="I52" s="23">
        <f>(I15+I28+I33)-(I34+I45+I46+I47+I48)</f>
        <v>0</v>
      </c>
      <c r="J52" s="23">
        <f>(J15+J28+J33)-(J34+J45+J46+J47+J48)</f>
        <v>0</v>
      </c>
      <c r="K52" s="23">
        <f>(K15+K28+K33)-(K34+K45+K46+K47+K48)</f>
        <v>0</v>
      </c>
      <c r="L52" s="19"/>
      <c r="M52" s="24"/>
      <c r="P52" s="25"/>
    </row>
    <row r="53" spans="3:16" s="17" customFormat="1" ht="15" customHeight="1">
      <c r="C53" s="18"/>
      <c r="D53" s="83" t="s">
        <v>109</v>
      </c>
      <c r="E53" s="84"/>
      <c r="F53" s="84"/>
      <c r="G53" s="84"/>
      <c r="H53" s="84"/>
      <c r="I53" s="84"/>
      <c r="J53" s="84"/>
      <c r="K53" s="85"/>
      <c r="L53" s="19"/>
      <c r="M53" s="24"/>
      <c r="P53" s="45"/>
    </row>
    <row r="54" spans="3:16" s="17" customFormat="1" ht="15" customHeight="1">
      <c r="C54" s="18"/>
      <c r="D54" s="20" t="s">
        <v>110</v>
      </c>
      <c r="E54" s="21" t="s">
        <v>23</v>
      </c>
      <c r="F54" s="22" t="s">
        <v>111</v>
      </c>
      <c r="G54" s="23">
        <f t="shared" si="0"/>
        <v>5.5140666666666673</v>
      </c>
      <c r="H54" s="23">
        <f>H55+H56+H60+H63</f>
        <v>0</v>
      </c>
      <c r="I54" s="23">
        <f>I55+I56+I60+I63</f>
        <v>5.5121652777777781</v>
      </c>
      <c r="J54" s="23">
        <f>J55+J56+J60+J63</f>
        <v>1.9013888888888889E-3</v>
      </c>
      <c r="K54" s="23">
        <f>K55+K56+K60+K63</f>
        <v>0</v>
      </c>
      <c r="L54" s="19"/>
      <c r="M54" s="24"/>
      <c r="P54" s="25"/>
    </row>
    <row r="55" spans="3:16" s="17" customFormat="1" ht="15" customHeight="1">
      <c r="C55" s="18"/>
      <c r="D55" s="20" t="s">
        <v>112</v>
      </c>
      <c r="E55" s="26" t="s">
        <v>25</v>
      </c>
      <c r="F55" s="22" t="s">
        <v>113</v>
      </c>
      <c r="G55" s="23">
        <f t="shared" si="0"/>
        <v>0</v>
      </c>
      <c r="H55" s="27"/>
      <c r="I55" s="27"/>
      <c r="J55" s="27"/>
      <c r="K55" s="27"/>
      <c r="L55" s="19"/>
      <c r="M55" s="24"/>
      <c r="P55" s="25"/>
    </row>
    <row r="56" spans="3:16" s="17" customFormat="1" ht="15" customHeight="1">
      <c r="C56" s="18"/>
      <c r="D56" s="20" t="s">
        <v>114</v>
      </c>
      <c r="E56" s="26" t="s">
        <v>27</v>
      </c>
      <c r="F56" s="22" t="s">
        <v>115</v>
      </c>
      <c r="G56" s="23">
        <f t="shared" si="0"/>
        <v>3.8027777777777778E-3</v>
      </c>
      <c r="H56" s="23">
        <f>SUM(H57:H59)</f>
        <v>0</v>
      </c>
      <c r="I56" s="23">
        <f>SUM(I57:I59)</f>
        <v>1.9013888888888889E-3</v>
      </c>
      <c r="J56" s="23">
        <f>SUM(J57:J59)</f>
        <v>1.9013888888888889E-3</v>
      </c>
      <c r="K56" s="23">
        <f>SUM(K57:K59)</f>
        <v>0</v>
      </c>
      <c r="L56" s="19"/>
      <c r="M56" s="24"/>
      <c r="P56" s="25"/>
    </row>
    <row r="57" spans="3:16" s="17" customFormat="1" ht="12.75" hidden="1">
      <c r="C57" s="18"/>
      <c r="D57" s="28" t="s">
        <v>116</v>
      </c>
      <c r="E57" s="29"/>
      <c r="F57" s="30" t="s">
        <v>115</v>
      </c>
      <c r="G57" s="31"/>
      <c r="H57" s="31"/>
      <c r="I57" s="31"/>
      <c r="J57" s="31"/>
      <c r="K57" s="31"/>
      <c r="L57" s="19"/>
      <c r="M57" s="24"/>
      <c r="P57" s="25"/>
    </row>
    <row r="58" spans="3:16" s="17" customFormat="1" ht="15" customHeight="1">
      <c r="C58" s="32" t="s">
        <v>30</v>
      </c>
      <c r="D58" s="33" t="s">
        <v>117</v>
      </c>
      <c r="E58" s="34" t="s">
        <v>32</v>
      </c>
      <c r="F58" s="35">
        <v>1061</v>
      </c>
      <c r="G58" s="36">
        <f>SUM(H58:K58)</f>
        <v>3.8027777777777778E-3</v>
      </c>
      <c r="H58" s="37"/>
      <c r="I58" s="37">
        <f>J19/720</f>
        <v>1.9013888888888889E-3</v>
      </c>
      <c r="J58" s="37">
        <f>J19/720</f>
        <v>1.9013888888888889E-3</v>
      </c>
      <c r="K58" s="37">
        <f>K19/744</f>
        <v>0</v>
      </c>
      <c r="L58" s="19"/>
      <c r="M58" s="39"/>
      <c r="N58" s="40"/>
      <c r="O58" s="40"/>
    </row>
    <row r="59" spans="3:16" s="17" customFormat="1" ht="15" customHeight="1">
      <c r="C59" s="18"/>
      <c r="D59" s="41"/>
      <c r="E59" s="42" t="s">
        <v>33</v>
      </c>
      <c r="F59" s="43"/>
      <c r="G59" s="43"/>
      <c r="H59" s="43"/>
      <c r="I59" s="43"/>
      <c r="J59" s="43"/>
      <c r="K59" s="44"/>
      <c r="L59" s="19"/>
      <c r="M59" s="24"/>
      <c r="P59" s="25"/>
    </row>
    <row r="60" spans="3:16" s="17" customFormat="1" ht="15" customHeight="1">
      <c r="C60" s="18"/>
      <c r="D60" s="20" t="s">
        <v>118</v>
      </c>
      <c r="E60" s="26" t="s">
        <v>35</v>
      </c>
      <c r="F60" s="22" t="s">
        <v>119</v>
      </c>
      <c r="G60" s="23">
        <f t="shared" si="0"/>
        <v>0</v>
      </c>
      <c r="H60" s="23">
        <f>SUM(H61:H62)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19"/>
      <c r="M60" s="24"/>
      <c r="P60" s="25"/>
    </row>
    <row r="61" spans="3:16" s="17" customFormat="1" ht="12.75" hidden="1" customHeight="1">
      <c r="C61" s="18"/>
      <c r="D61" s="28" t="s">
        <v>120</v>
      </c>
      <c r="E61" s="29"/>
      <c r="F61" s="30" t="s">
        <v>119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customHeight="1">
      <c r="C62" s="18"/>
      <c r="D62" s="41"/>
      <c r="E62" s="42" t="s">
        <v>33</v>
      </c>
      <c r="F62" s="43"/>
      <c r="G62" s="43"/>
      <c r="H62" s="43"/>
      <c r="I62" s="43"/>
      <c r="J62" s="43"/>
      <c r="K62" s="44"/>
      <c r="L62" s="19"/>
      <c r="M62" s="24"/>
      <c r="P62" s="25"/>
    </row>
    <row r="63" spans="3:16" s="17" customFormat="1" ht="15" customHeight="1">
      <c r="C63" s="18"/>
      <c r="D63" s="20" t="s">
        <v>121</v>
      </c>
      <c r="E63" s="26" t="s">
        <v>39</v>
      </c>
      <c r="F63" s="22" t="s">
        <v>122</v>
      </c>
      <c r="G63" s="23">
        <f t="shared" si="0"/>
        <v>5.5102638888888889</v>
      </c>
      <c r="H63" s="23">
        <f>SUM(H64:H66)</f>
        <v>0</v>
      </c>
      <c r="I63" s="23">
        <f>SUM(I64:I66)</f>
        <v>5.5102638888888889</v>
      </c>
      <c r="J63" s="23">
        <f>SUM(J64:J66)</f>
        <v>0</v>
      </c>
      <c r="K63" s="23">
        <f>SUM(K64:K66)</f>
        <v>0</v>
      </c>
      <c r="L63" s="19"/>
      <c r="M63" s="24"/>
      <c r="P63" s="25"/>
    </row>
    <row r="64" spans="3:16" s="17" customFormat="1" ht="12.75" hidden="1" customHeight="1">
      <c r="C64" s="18"/>
      <c r="D64" s="28" t="s">
        <v>123</v>
      </c>
      <c r="E64" s="29"/>
      <c r="F64" s="30" t="s">
        <v>122</v>
      </c>
      <c r="G64" s="31"/>
      <c r="H64" s="31"/>
      <c r="I64" s="31"/>
      <c r="J64" s="31"/>
      <c r="K64" s="31"/>
      <c r="L64" s="19"/>
      <c r="M64" s="24"/>
      <c r="P64" s="25"/>
    </row>
    <row r="65" spans="3:16" s="17" customFormat="1" ht="15" customHeight="1">
      <c r="C65" s="32" t="s">
        <v>30</v>
      </c>
      <c r="D65" s="33" t="s">
        <v>124</v>
      </c>
      <c r="E65" s="34" t="s">
        <v>43</v>
      </c>
      <c r="F65" s="35">
        <v>1461</v>
      </c>
      <c r="G65" s="36">
        <f>SUM(H65:K65)</f>
        <v>5.5102638888888889</v>
      </c>
      <c r="H65" s="37"/>
      <c r="I65" s="37">
        <f>I26/720</f>
        <v>5.5102638888888889</v>
      </c>
      <c r="J65" s="37">
        <f>J26/720</f>
        <v>0</v>
      </c>
      <c r="K65" s="37">
        <f>K26/744</f>
        <v>0</v>
      </c>
      <c r="L65" s="19"/>
      <c r="M65" s="39"/>
      <c r="N65" s="40"/>
      <c r="O65" s="40"/>
    </row>
    <row r="66" spans="3:16" s="17" customFormat="1" ht="15" customHeight="1">
      <c r="C66" s="18"/>
      <c r="D66" s="41"/>
      <c r="E66" s="42" t="s">
        <v>33</v>
      </c>
      <c r="F66" s="43"/>
      <c r="G66" s="43"/>
      <c r="H66" s="43"/>
      <c r="I66" s="43"/>
      <c r="J66" s="43"/>
      <c r="K66" s="44"/>
      <c r="L66" s="19"/>
      <c r="M66" s="24"/>
      <c r="P66" s="25"/>
    </row>
    <row r="67" spans="3:16" s="17" customFormat="1" ht="15" customHeight="1">
      <c r="C67" s="18"/>
      <c r="D67" s="20" t="s">
        <v>125</v>
      </c>
      <c r="E67" s="21" t="s">
        <v>45</v>
      </c>
      <c r="F67" s="22" t="s">
        <v>126</v>
      </c>
      <c r="G67" s="23">
        <f t="shared" si="0"/>
        <v>1.994755376344086</v>
      </c>
      <c r="H67" s="23">
        <f>H69+H70+H71</f>
        <v>0</v>
      </c>
      <c r="I67" s="23">
        <f>I68+I70+I71</f>
        <v>0</v>
      </c>
      <c r="J67" s="23">
        <f>J68+J69+J71</f>
        <v>1.1794354838709677</v>
      </c>
      <c r="K67" s="23">
        <f>K68+K69+K70</f>
        <v>0.8153198924731182</v>
      </c>
      <c r="L67" s="19"/>
      <c r="M67" s="24"/>
      <c r="P67" s="25"/>
    </row>
    <row r="68" spans="3:16" s="17" customFormat="1" ht="15" customHeight="1">
      <c r="C68" s="18"/>
      <c r="D68" s="20" t="s">
        <v>127</v>
      </c>
      <c r="E68" s="26" t="s">
        <v>17</v>
      </c>
      <c r="F68" s="22" t="s">
        <v>128</v>
      </c>
      <c r="G68" s="23">
        <f t="shared" si="0"/>
        <v>0</v>
      </c>
      <c r="H68" s="46"/>
      <c r="I68" s="27"/>
      <c r="J68" s="27"/>
      <c r="K68" s="27"/>
      <c r="L68" s="19"/>
      <c r="M68" s="24"/>
      <c r="P68" s="25"/>
    </row>
    <row r="69" spans="3:16" s="17" customFormat="1" ht="15" customHeight="1">
      <c r="C69" s="18"/>
      <c r="D69" s="20" t="s">
        <v>129</v>
      </c>
      <c r="E69" s="26" t="s">
        <v>18</v>
      </c>
      <c r="F69" s="22" t="s">
        <v>130</v>
      </c>
      <c r="G69" s="23">
        <f t="shared" si="0"/>
        <v>1.1794354838709677</v>
      </c>
      <c r="H69" s="27"/>
      <c r="I69" s="53"/>
      <c r="J69" s="27">
        <f>J30/744</f>
        <v>1.1794354838709677</v>
      </c>
      <c r="K69" s="27">
        <f>K30/744</f>
        <v>0</v>
      </c>
      <c r="L69" s="19"/>
      <c r="M69" s="24"/>
      <c r="P69" s="25"/>
    </row>
    <row r="70" spans="3:16" s="17" customFormat="1" ht="15" customHeight="1">
      <c r="C70" s="18"/>
      <c r="D70" s="20" t="s">
        <v>131</v>
      </c>
      <c r="E70" s="26" t="s">
        <v>19</v>
      </c>
      <c r="F70" s="22" t="s">
        <v>132</v>
      </c>
      <c r="G70" s="23">
        <f t="shared" si="0"/>
        <v>0.8153198924731182</v>
      </c>
      <c r="H70" s="27"/>
      <c r="I70" s="27"/>
      <c r="J70" s="46"/>
      <c r="K70" s="27">
        <f>K31/744</f>
        <v>0.8153198924731182</v>
      </c>
      <c r="L70" s="19"/>
      <c r="M70" s="24"/>
      <c r="P70" s="25"/>
    </row>
    <row r="71" spans="3:16" s="17" customFormat="1" ht="15" customHeight="1">
      <c r="C71" s="18"/>
      <c r="D71" s="20" t="s">
        <v>133</v>
      </c>
      <c r="E71" s="26" t="s">
        <v>54</v>
      </c>
      <c r="F71" s="22" t="s">
        <v>134</v>
      </c>
      <c r="G71" s="23">
        <f t="shared" si="0"/>
        <v>0</v>
      </c>
      <c r="H71" s="27"/>
      <c r="I71" s="27"/>
      <c r="J71" s="27"/>
      <c r="K71" s="46"/>
      <c r="L71" s="19"/>
      <c r="M71" s="24"/>
      <c r="P71" s="25"/>
    </row>
    <row r="72" spans="3:16" s="17" customFormat="1" ht="15" customHeight="1">
      <c r="C72" s="18"/>
      <c r="D72" s="20" t="s">
        <v>135</v>
      </c>
      <c r="E72" s="47" t="s">
        <v>57</v>
      </c>
      <c r="F72" s="22" t="s">
        <v>136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137</v>
      </c>
      <c r="E73" s="21" t="s">
        <v>60</v>
      </c>
      <c r="F73" s="48" t="s">
        <v>138</v>
      </c>
      <c r="G73" s="23">
        <f t="shared" si="0"/>
        <v>4.20291935483871</v>
      </c>
      <c r="H73" s="23">
        <f>H74+H76+H79+H83</f>
        <v>0</v>
      </c>
      <c r="I73" s="23">
        <f>I74+J77+I79+I83</f>
        <v>3.0766129032258065</v>
      </c>
      <c r="J73" s="23">
        <f>J74+J76+J79+J83</f>
        <v>0.36175672043010754</v>
      </c>
      <c r="K73" s="23">
        <f>K74+K76+K79+K83</f>
        <v>0.76454973118279579</v>
      </c>
      <c r="L73" s="19"/>
      <c r="M73" s="24"/>
      <c r="P73" s="25"/>
    </row>
    <row r="74" spans="3:16" s="17" customFormat="1" ht="22.5">
      <c r="C74" s="18"/>
      <c r="D74" s="20" t="s">
        <v>139</v>
      </c>
      <c r="E74" s="26" t="s">
        <v>63</v>
      </c>
      <c r="F74" s="22" t="s">
        <v>140</v>
      </c>
      <c r="G74" s="23">
        <f t="shared" si="0"/>
        <v>0</v>
      </c>
      <c r="H74" s="27"/>
      <c r="I74" s="27"/>
      <c r="J74" s="27"/>
      <c r="K74" s="27"/>
      <c r="L74" s="19"/>
      <c r="M74" s="24"/>
      <c r="P74" s="25"/>
    </row>
    <row r="75" spans="3:16" s="17" customFormat="1" ht="15" customHeight="1">
      <c r="C75" s="18"/>
      <c r="D75" s="20" t="s">
        <v>141</v>
      </c>
      <c r="E75" s="49" t="s">
        <v>66</v>
      </c>
      <c r="F75" s="22" t="s">
        <v>142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143</v>
      </c>
      <c r="E76" s="26" t="s">
        <v>69</v>
      </c>
      <c r="F76" s="22" t="s">
        <v>144</v>
      </c>
      <c r="G76" s="23">
        <f t="shared" si="0"/>
        <v>2.1590618279569895</v>
      </c>
      <c r="H76" s="27"/>
      <c r="I76" s="27">
        <f>I37/744</f>
        <v>1.032755376344086</v>
      </c>
      <c r="J76" s="27">
        <f>J37/744</f>
        <v>0.36175672043010754</v>
      </c>
      <c r="K76" s="27">
        <f>K37/744</f>
        <v>0.76454973118279579</v>
      </c>
      <c r="L76" s="19"/>
      <c r="M76" s="24"/>
      <c r="P76" s="25"/>
    </row>
    <row r="77" spans="3:16" s="17" customFormat="1" ht="15" customHeight="1">
      <c r="C77" s="18"/>
      <c r="D77" s="20" t="s">
        <v>145</v>
      </c>
      <c r="E77" s="49" t="s">
        <v>72</v>
      </c>
      <c r="F77" s="22" t="s">
        <v>146</v>
      </c>
      <c r="G77" s="23">
        <f t="shared" si="0"/>
        <v>0</v>
      </c>
      <c r="H77" s="27"/>
      <c r="I77" s="27">
        <f>I38/744</f>
        <v>0</v>
      </c>
      <c r="J77" s="27">
        <f>J38/744</f>
        <v>0</v>
      </c>
      <c r="K77" s="27"/>
      <c r="L77" s="19"/>
      <c r="M77" s="24"/>
      <c r="P77" s="25"/>
    </row>
    <row r="78" spans="3:16" s="17" customFormat="1" ht="15" customHeight="1">
      <c r="C78" s="18"/>
      <c r="D78" s="20" t="s">
        <v>147</v>
      </c>
      <c r="E78" s="50" t="s">
        <v>66</v>
      </c>
      <c r="F78" s="22" t="s">
        <v>148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>
      <c r="C79" s="18"/>
      <c r="D79" s="20" t="s">
        <v>149</v>
      </c>
      <c r="E79" s="26" t="s">
        <v>77</v>
      </c>
      <c r="F79" s="22" t="s">
        <v>150</v>
      </c>
      <c r="G79" s="23">
        <f t="shared" si="0"/>
        <v>3.0766129032258065</v>
      </c>
      <c r="H79" s="23">
        <f>SUM(H80:H82)</f>
        <v>0</v>
      </c>
      <c r="I79" s="23">
        <f>SUM(I80:I82)</f>
        <v>3.0766129032258065</v>
      </c>
      <c r="J79" s="23">
        <f>SUM(J80:J82)</f>
        <v>0</v>
      </c>
      <c r="K79" s="23">
        <f>SUM(K80:K82)</f>
        <v>0</v>
      </c>
      <c r="L79" s="19"/>
      <c r="M79" s="24"/>
      <c r="P79" s="25"/>
    </row>
    <row r="80" spans="3:16" s="17" customFormat="1" ht="12.75" hidden="1" customHeight="1">
      <c r="C80" s="18"/>
      <c r="D80" s="28" t="s">
        <v>151</v>
      </c>
      <c r="E80" s="29"/>
      <c r="F80" s="30" t="s">
        <v>150</v>
      </c>
      <c r="G80" s="31"/>
      <c r="H80" s="31"/>
      <c r="I80" s="31"/>
      <c r="J80" s="31"/>
      <c r="K80" s="31"/>
      <c r="L80" s="19"/>
      <c r="M80" s="24"/>
      <c r="P80" s="25"/>
    </row>
    <row r="81" spans="3:16" s="17" customFormat="1" ht="15" customHeight="1">
      <c r="C81" s="32" t="s">
        <v>30</v>
      </c>
      <c r="D81" s="33" t="s">
        <v>152</v>
      </c>
      <c r="E81" s="34" t="s">
        <v>81</v>
      </c>
      <c r="F81" s="35">
        <v>1781</v>
      </c>
      <c r="G81" s="36">
        <f>SUM(H81:K81)</f>
        <v>3.0766129032258065</v>
      </c>
      <c r="H81" s="37"/>
      <c r="I81" s="37">
        <f>I42/744</f>
        <v>3.0766129032258065</v>
      </c>
      <c r="J81" s="37">
        <f>J42/744</f>
        <v>0</v>
      </c>
      <c r="K81" s="37">
        <f>K42/744</f>
        <v>0</v>
      </c>
      <c r="L81" s="19"/>
      <c r="M81" s="39"/>
      <c r="N81" s="40"/>
      <c r="O81" s="40"/>
    </row>
    <row r="82" spans="3:16" s="17" customFormat="1" ht="15" customHeight="1">
      <c r="C82" s="18"/>
      <c r="D82" s="41"/>
      <c r="E82" s="42" t="s">
        <v>33</v>
      </c>
      <c r="F82" s="43"/>
      <c r="G82" s="43"/>
      <c r="H82" s="43"/>
      <c r="I82" s="43"/>
      <c r="J82" s="43"/>
      <c r="K82" s="44"/>
      <c r="L82" s="19"/>
      <c r="M82" s="24"/>
      <c r="P82" s="25"/>
    </row>
    <row r="83" spans="3:16" s="17" customFormat="1" ht="15" customHeight="1">
      <c r="C83" s="18"/>
      <c r="D83" s="20" t="s">
        <v>153</v>
      </c>
      <c r="E83" s="52" t="s">
        <v>83</v>
      </c>
      <c r="F83" s="22" t="s">
        <v>154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>
      <c r="C84" s="18"/>
      <c r="D84" s="20" t="s">
        <v>155</v>
      </c>
      <c r="E84" s="21" t="s">
        <v>86</v>
      </c>
      <c r="F84" s="22" t="s">
        <v>156</v>
      </c>
      <c r="G84" s="23">
        <f t="shared" si="0"/>
        <v>1.994755376344086</v>
      </c>
      <c r="H84" s="27"/>
      <c r="I84" s="27">
        <f>I45/744</f>
        <v>1.1794354838709677</v>
      </c>
      <c r="J84" s="27">
        <f>J45/744</f>
        <v>0.8153198924731182</v>
      </c>
      <c r="K84" s="27">
        <f>K45/744</f>
        <v>0</v>
      </c>
      <c r="L84" s="19"/>
      <c r="M84" s="24"/>
      <c r="P84" s="25"/>
    </row>
    <row r="85" spans="3:16" s="17" customFormat="1" ht="15" customHeight="1">
      <c r="C85" s="18"/>
      <c r="D85" s="20" t="s">
        <v>157</v>
      </c>
      <c r="E85" s="21" t="s">
        <v>89</v>
      </c>
      <c r="F85" s="22" t="s">
        <v>158</v>
      </c>
      <c r="G85" s="23">
        <f t="shared" si="0"/>
        <v>0</v>
      </c>
      <c r="H85" s="27"/>
      <c r="I85" s="27"/>
      <c r="J85" s="27"/>
      <c r="K85" s="27"/>
      <c r="L85" s="19"/>
      <c r="M85" s="24"/>
      <c r="P85" s="25"/>
    </row>
    <row r="86" spans="3:16" s="17" customFormat="1" ht="15" customHeight="1">
      <c r="C86" s="18"/>
      <c r="D86" s="20" t="s">
        <v>159</v>
      </c>
      <c r="E86" s="21" t="s">
        <v>92</v>
      </c>
      <c r="F86" s="22" t="s">
        <v>160</v>
      </c>
      <c r="G86" s="23">
        <f t="shared" si="0"/>
        <v>0</v>
      </c>
      <c r="H86" s="27"/>
      <c r="I86" s="27"/>
      <c r="J86" s="27"/>
      <c r="K86" s="27"/>
      <c r="L86" s="19"/>
      <c r="M86" s="24"/>
      <c r="P86" s="25"/>
    </row>
    <row r="87" spans="3:16" s="17" customFormat="1" ht="15" customHeight="1">
      <c r="C87" s="18"/>
      <c r="D87" s="20" t="s">
        <v>161</v>
      </c>
      <c r="E87" s="21" t="s">
        <v>95</v>
      </c>
      <c r="F87" s="22" t="s">
        <v>162</v>
      </c>
      <c r="G87" s="23">
        <f t="shared" si="0"/>
        <v>9.8678763440860226E-2</v>
      </c>
      <c r="H87" s="27"/>
      <c r="I87" s="27">
        <f>I48/744</f>
        <v>4.3709677419354845E-2</v>
      </c>
      <c r="J87" s="27">
        <f>J48/744</f>
        <v>4.1989247311827954E-3</v>
      </c>
      <c r="K87" s="27">
        <f>K48/744</f>
        <v>5.0770161290322587E-2</v>
      </c>
      <c r="L87" s="19"/>
      <c r="M87" s="24"/>
      <c r="P87" s="25"/>
    </row>
    <row r="88" spans="3:16" s="17" customFormat="1" ht="15" customHeight="1">
      <c r="C88" s="18"/>
      <c r="D88" s="20" t="s">
        <v>163</v>
      </c>
      <c r="E88" s="26" t="s">
        <v>164</v>
      </c>
      <c r="F88" s="22" t="s">
        <v>165</v>
      </c>
      <c r="G88" s="23">
        <f t="shared" si="0"/>
        <v>0</v>
      </c>
      <c r="H88" s="27"/>
      <c r="I88" s="27"/>
      <c r="J88" s="27"/>
      <c r="K88" s="27"/>
      <c r="L88" s="19"/>
      <c r="M88" s="24"/>
      <c r="P88" s="25"/>
    </row>
    <row r="89" spans="3:16" s="17" customFormat="1" ht="15" customHeight="1">
      <c r="C89" s="18"/>
      <c r="D89" s="20" t="s">
        <v>166</v>
      </c>
      <c r="E89" s="21" t="s">
        <v>101</v>
      </c>
      <c r="F89" s="22" t="s">
        <v>167</v>
      </c>
      <c r="G89" s="23">
        <f t="shared" si="0"/>
        <v>0.33602150537634407</v>
      </c>
      <c r="H89" s="27"/>
      <c r="I89" s="27">
        <f>I50/744</f>
        <v>5.6912145902962744E-2</v>
      </c>
      <c r="J89" s="27">
        <f>J50/744</f>
        <v>0.13153639563891911</v>
      </c>
      <c r="K89" s="27">
        <f>K50/744</f>
        <v>0.14757296383446222</v>
      </c>
      <c r="L89" s="19"/>
      <c r="M89" s="24"/>
      <c r="P89" s="25"/>
    </row>
    <row r="90" spans="3:16" s="17" customFormat="1" ht="33.75">
      <c r="C90" s="18"/>
      <c r="D90" s="20" t="s">
        <v>168</v>
      </c>
      <c r="E90" s="47" t="s">
        <v>104</v>
      </c>
      <c r="F90" s="22" t="s">
        <v>169</v>
      </c>
      <c r="G90" s="23">
        <f t="shared" si="0"/>
        <v>-0.23734274193548385</v>
      </c>
      <c r="H90" s="23">
        <f>H87-H89</f>
        <v>0</v>
      </c>
      <c r="I90" s="23">
        <f>I87-I89</f>
        <v>-1.3202468483607899E-2</v>
      </c>
      <c r="J90" s="23">
        <f>J87-J89</f>
        <v>-0.12733747090773631</v>
      </c>
      <c r="K90" s="23">
        <f>K87-K89</f>
        <v>-9.6802802544139643E-2</v>
      </c>
      <c r="L90" s="19"/>
      <c r="M90" s="24"/>
      <c r="P90" s="25"/>
    </row>
    <row r="91" spans="3:16" s="17" customFormat="1" ht="15" customHeight="1">
      <c r="C91" s="18"/>
      <c r="D91" s="20" t="s">
        <v>170</v>
      </c>
      <c r="E91" s="21" t="s">
        <v>107</v>
      </c>
      <c r="F91" s="22" t="s">
        <v>171</v>
      </c>
      <c r="G91" s="23">
        <f t="shared" si="0"/>
        <v>1.2124685483870969</v>
      </c>
      <c r="H91" s="23">
        <f>(H54+H67+H72)-(H73+H84+H85+H86+H87)</f>
        <v>0</v>
      </c>
      <c r="I91" s="23">
        <f>(I54+I67+I72)-(I73+I84+I85+I86+I87)</f>
        <v>1.212407213261649</v>
      </c>
      <c r="J91" s="23">
        <f>(J54+J67+J72)-(J73+J84+J85+J86+J87)</f>
        <v>6.133512544792552E-5</v>
      </c>
      <c r="K91" s="23">
        <f>(K54+K67+K72)-(K73+K84+K85+K86+K87)</f>
        <v>0</v>
      </c>
      <c r="L91" s="19"/>
      <c r="M91" s="24"/>
      <c r="P91" s="25"/>
    </row>
    <row r="92" spans="3:16" s="17" customFormat="1" ht="15" customHeight="1">
      <c r="C92" s="18"/>
      <c r="D92" s="83" t="s">
        <v>172</v>
      </c>
      <c r="E92" s="84"/>
      <c r="F92" s="84"/>
      <c r="G92" s="84"/>
      <c r="H92" s="84"/>
      <c r="I92" s="84"/>
      <c r="J92" s="84"/>
      <c r="K92" s="85"/>
      <c r="L92" s="19"/>
      <c r="M92" s="24"/>
      <c r="P92" s="45"/>
    </row>
    <row r="93" spans="3:16" s="17" customFormat="1" ht="15" customHeight="1">
      <c r="C93" s="18"/>
      <c r="D93" s="20" t="s">
        <v>173</v>
      </c>
      <c r="E93" s="21" t="s">
        <v>174</v>
      </c>
      <c r="F93" s="22" t="s">
        <v>175</v>
      </c>
      <c r="G93" s="23">
        <f t="shared" si="0"/>
        <v>0</v>
      </c>
      <c r="H93" s="27"/>
      <c r="I93" s="27"/>
      <c r="J93" s="27"/>
      <c r="K93" s="27"/>
      <c r="L93" s="19"/>
      <c r="M93" s="24"/>
      <c r="P93" s="25"/>
    </row>
    <row r="94" spans="3:16" s="17" customFormat="1" ht="15" customHeight="1">
      <c r="C94" s="18"/>
      <c r="D94" s="20" t="s">
        <v>176</v>
      </c>
      <c r="E94" s="21" t="s">
        <v>177</v>
      </c>
      <c r="F94" s="22" t="s">
        <v>178</v>
      </c>
      <c r="G94" s="23">
        <f t="shared" si="0"/>
        <v>10.55</v>
      </c>
      <c r="H94" s="27"/>
      <c r="I94" s="27">
        <v>10.55</v>
      </c>
      <c r="J94" s="27"/>
      <c r="K94" s="27"/>
      <c r="L94" s="19"/>
      <c r="M94" s="24"/>
      <c r="P94" s="25"/>
    </row>
    <row r="95" spans="3:16" s="17" customFormat="1" ht="15" customHeight="1">
      <c r="C95" s="18"/>
      <c r="D95" s="20" t="s">
        <v>179</v>
      </c>
      <c r="E95" s="21" t="s">
        <v>180</v>
      </c>
      <c r="F95" s="22" t="s">
        <v>181</v>
      </c>
      <c r="G95" s="23">
        <f t="shared" si="0"/>
        <v>0</v>
      </c>
      <c r="H95" s="27"/>
      <c r="I95" s="27"/>
      <c r="J95" s="27"/>
      <c r="K95" s="27"/>
      <c r="L95" s="19"/>
      <c r="M95" s="24"/>
      <c r="P95" s="25"/>
    </row>
    <row r="96" spans="3:16" s="17" customFormat="1" ht="15" customHeight="1">
      <c r="C96" s="18"/>
      <c r="D96" s="83" t="s">
        <v>182</v>
      </c>
      <c r="E96" s="84"/>
      <c r="F96" s="84"/>
      <c r="G96" s="84"/>
      <c r="H96" s="84"/>
      <c r="I96" s="84"/>
      <c r="J96" s="84"/>
      <c r="K96" s="85"/>
      <c r="L96" s="19"/>
      <c r="M96" s="24"/>
      <c r="P96" s="45"/>
    </row>
    <row r="97" spans="3:16" s="17" customFormat="1" ht="15" customHeight="1">
      <c r="C97" s="18"/>
      <c r="D97" s="20" t="s">
        <v>183</v>
      </c>
      <c r="E97" s="21" t="s">
        <v>184</v>
      </c>
      <c r="F97" s="22" t="s">
        <v>185</v>
      </c>
      <c r="G97" s="23">
        <f t="shared" si="0"/>
        <v>0</v>
      </c>
      <c r="H97" s="23">
        <f>SUM(H98:H99)</f>
        <v>0</v>
      </c>
      <c r="I97" s="23">
        <f>SUM(I98:I99)</f>
        <v>0</v>
      </c>
      <c r="J97" s="23">
        <f>SUM(J98:J99)</f>
        <v>0</v>
      </c>
      <c r="K97" s="23">
        <f>SUM(K98:K99)</f>
        <v>0</v>
      </c>
      <c r="L97" s="19"/>
      <c r="M97" s="24"/>
      <c r="P97" s="25"/>
    </row>
    <row r="98" spans="3:16" ht="15" customHeight="1">
      <c r="C98" s="6"/>
      <c r="D98" s="54" t="s">
        <v>186</v>
      </c>
      <c r="E98" s="26" t="s">
        <v>187</v>
      </c>
      <c r="F98" s="22" t="s">
        <v>188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/>
    </row>
    <row r="99" spans="3:16" ht="15" customHeight="1">
      <c r="C99" s="6"/>
      <c r="D99" s="54" t="s">
        <v>189</v>
      </c>
      <c r="E99" s="26" t="s">
        <v>190</v>
      </c>
      <c r="F99" s="22" t="s">
        <v>191</v>
      </c>
      <c r="G99" s="23">
        <f t="shared" si="0"/>
        <v>0</v>
      </c>
      <c r="H99" s="56">
        <f>H102</f>
        <v>0</v>
      </c>
      <c r="I99" s="56">
        <f>I102</f>
        <v>0</v>
      </c>
      <c r="J99" s="56">
        <f>J102</f>
        <v>0</v>
      </c>
      <c r="K99" s="56">
        <f>K102</f>
        <v>0</v>
      </c>
      <c r="L99" s="13"/>
      <c r="M99" s="24"/>
      <c r="P99" s="25"/>
    </row>
    <row r="100" spans="3:16" ht="15" customHeight="1">
      <c r="C100" s="6"/>
      <c r="D100" s="54" t="s">
        <v>192</v>
      </c>
      <c r="E100" s="49" t="s">
        <v>193</v>
      </c>
      <c r="F100" s="22" t="s">
        <v>194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/>
    </row>
    <row r="101" spans="3:16" ht="15" customHeight="1">
      <c r="C101" s="6"/>
      <c r="D101" s="54" t="s">
        <v>195</v>
      </c>
      <c r="E101" s="50" t="s">
        <v>196</v>
      </c>
      <c r="F101" s="22" t="s">
        <v>197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5" customHeight="1">
      <c r="C102" s="6"/>
      <c r="D102" s="54" t="s">
        <v>198</v>
      </c>
      <c r="E102" s="49" t="s">
        <v>199</v>
      </c>
      <c r="F102" s="22" t="s">
        <v>200</v>
      </c>
      <c r="G102" s="23">
        <f t="shared" si="0"/>
        <v>0</v>
      </c>
      <c r="H102" s="55"/>
      <c r="I102" s="55"/>
      <c r="J102" s="55"/>
      <c r="K102" s="55"/>
      <c r="L102" s="13"/>
      <c r="M102" s="24"/>
      <c r="P102" s="25"/>
    </row>
    <row r="103" spans="3:16" ht="15" customHeight="1">
      <c r="C103" s="6"/>
      <c r="D103" s="54" t="s">
        <v>201</v>
      </c>
      <c r="E103" s="21" t="s">
        <v>202</v>
      </c>
      <c r="F103" s="22" t="s">
        <v>203</v>
      </c>
      <c r="G103" s="23">
        <f t="shared" si="0"/>
        <v>0</v>
      </c>
      <c r="H103" s="56">
        <f>H104+H120</f>
        <v>0</v>
      </c>
      <c r="I103" s="56">
        <f>I104+I120</f>
        <v>0</v>
      </c>
      <c r="J103" s="56">
        <f>J104+J120</f>
        <v>0</v>
      </c>
      <c r="K103" s="56">
        <f>K104+K120</f>
        <v>0</v>
      </c>
      <c r="L103" s="13"/>
      <c r="M103" s="24"/>
      <c r="P103" s="25"/>
    </row>
    <row r="104" spans="3:16" ht="15" customHeight="1">
      <c r="C104" s="6"/>
      <c r="D104" s="54" t="s">
        <v>204</v>
      </c>
      <c r="E104" s="26" t="s">
        <v>205</v>
      </c>
      <c r="F104" s="22" t="s">
        <v>206</v>
      </c>
      <c r="G104" s="23">
        <f t="shared" si="0"/>
        <v>0</v>
      </c>
      <c r="H104" s="56">
        <f>H105+H106</f>
        <v>0</v>
      </c>
      <c r="I104" s="56">
        <f>I105+I106</f>
        <v>0</v>
      </c>
      <c r="J104" s="56">
        <f>J105+J106</f>
        <v>0</v>
      </c>
      <c r="K104" s="56">
        <f>K105+K106</f>
        <v>0</v>
      </c>
      <c r="L104" s="13"/>
      <c r="M104" s="24"/>
      <c r="P104" s="25"/>
    </row>
    <row r="105" spans="3:16" ht="15" customHeight="1">
      <c r="C105" s="6"/>
      <c r="D105" s="54" t="s">
        <v>207</v>
      </c>
      <c r="E105" s="49" t="s">
        <v>208</v>
      </c>
      <c r="F105" s="22" t="s">
        <v>209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15" customHeight="1">
      <c r="C106" s="6"/>
      <c r="D106" s="54" t="s">
        <v>210</v>
      </c>
      <c r="E106" s="49" t="s">
        <v>211</v>
      </c>
      <c r="F106" s="22" t="s">
        <v>212</v>
      </c>
      <c r="G106" s="23">
        <f t="shared" si="0"/>
        <v>0</v>
      </c>
      <c r="H106" s="56">
        <f>H107+H110+H113+H116+H117+H118+H119</f>
        <v>0</v>
      </c>
      <c r="I106" s="56">
        <f>I107+I110+I113+I116+I117+I118+I119</f>
        <v>0</v>
      </c>
      <c r="J106" s="56">
        <f>J107+J110+J113+J116+J117+J118+J119</f>
        <v>0</v>
      </c>
      <c r="K106" s="56">
        <f>K107+K110+K113+K116+K117+K118+K119</f>
        <v>0</v>
      </c>
      <c r="L106" s="13"/>
      <c r="M106" s="24"/>
      <c r="P106" s="25"/>
    </row>
    <row r="107" spans="3:16" ht="45">
      <c r="C107" s="6"/>
      <c r="D107" s="54" t="s">
        <v>213</v>
      </c>
      <c r="E107" s="50" t="s">
        <v>214</v>
      </c>
      <c r="F107" s="22" t="s">
        <v>215</v>
      </c>
      <c r="G107" s="23">
        <f t="shared" si="0"/>
        <v>0</v>
      </c>
      <c r="H107" s="57">
        <f>H108+H109</f>
        <v>0</v>
      </c>
      <c r="I107" s="57">
        <f>I108+I109</f>
        <v>0</v>
      </c>
      <c r="J107" s="57">
        <f>J108+J109</f>
        <v>0</v>
      </c>
      <c r="K107" s="57">
        <f>K108+K109</f>
        <v>0</v>
      </c>
      <c r="L107" s="13"/>
      <c r="M107" s="24"/>
      <c r="P107" s="25"/>
    </row>
    <row r="108" spans="3:16" ht="15" customHeight="1">
      <c r="C108" s="6"/>
      <c r="D108" s="54" t="s">
        <v>216</v>
      </c>
      <c r="E108" s="58" t="s">
        <v>217</v>
      </c>
      <c r="F108" s="22" t="s">
        <v>218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15" customHeight="1">
      <c r="C109" s="6"/>
      <c r="D109" s="54" t="s">
        <v>219</v>
      </c>
      <c r="E109" s="58" t="s">
        <v>220</v>
      </c>
      <c r="F109" s="22" t="s">
        <v>221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45">
      <c r="C110" s="6"/>
      <c r="D110" s="54" t="s">
        <v>222</v>
      </c>
      <c r="E110" s="50" t="s">
        <v>223</v>
      </c>
      <c r="F110" s="22" t="s">
        <v>224</v>
      </c>
      <c r="G110" s="23">
        <f t="shared" si="0"/>
        <v>0</v>
      </c>
      <c r="H110" s="57">
        <f>H111+H112</f>
        <v>0</v>
      </c>
      <c r="I110" s="57">
        <f>I111+I112</f>
        <v>0</v>
      </c>
      <c r="J110" s="57">
        <f>J111+J112</f>
        <v>0</v>
      </c>
      <c r="K110" s="57">
        <f>K111+K112</f>
        <v>0</v>
      </c>
      <c r="L110" s="13"/>
      <c r="M110" s="24"/>
      <c r="P110" s="25"/>
    </row>
    <row r="111" spans="3:16" ht="15" customHeight="1">
      <c r="C111" s="6"/>
      <c r="D111" s="54" t="s">
        <v>225</v>
      </c>
      <c r="E111" s="58" t="s">
        <v>217</v>
      </c>
      <c r="F111" s="22" t="s">
        <v>226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>
      <c r="C112" s="6"/>
      <c r="D112" s="54" t="s">
        <v>227</v>
      </c>
      <c r="E112" s="58" t="s">
        <v>220</v>
      </c>
      <c r="F112" s="22" t="s">
        <v>228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229</v>
      </c>
      <c r="E113" s="50" t="s">
        <v>230</v>
      </c>
      <c r="F113" s="22" t="s">
        <v>231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>
      <c r="C114" s="6"/>
      <c r="D114" s="54" t="s">
        <v>232</v>
      </c>
      <c r="E114" s="58" t="s">
        <v>217</v>
      </c>
      <c r="F114" s="22" t="s">
        <v>233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234</v>
      </c>
      <c r="E115" s="58" t="s">
        <v>220</v>
      </c>
      <c r="F115" s="22" t="s">
        <v>235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5" customHeight="1">
      <c r="C116" s="6"/>
      <c r="D116" s="54" t="s">
        <v>236</v>
      </c>
      <c r="E116" s="50" t="s">
        <v>237</v>
      </c>
      <c r="F116" s="22" t="s">
        <v>238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5" customHeight="1">
      <c r="C117" s="6"/>
      <c r="D117" s="54" t="s">
        <v>239</v>
      </c>
      <c r="E117" s="50" t="s">
        <v>240</v>
      </c>
      <c r="F117" s="22" t="s">
        <v>241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9.5" customHeight="1">
      <c r="C118" s="6"/>
      <c r="D118" s="54" t="s">
        <v>242</v>
      </c>
      <c r="E118" s="50" t="s">
        <v>243</v>
      </c>
      <c r="F118" s="22" t="s">
        <v>244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3.5" customHeight="1">
      <c r="C119" s="6"/>
      <c r="D119" s="54" t="s">
        <v>245</v>
      </c>
      <c r="E119" s="50" t="s">
        <v>246</v>
      </c>
      <c r="F119" s="22" t="s">
        <v>247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248</v>
      </c>
      <c r="E120" s="26" t="s">
        <v>249</v>
      </c>
      <c r="F120" s="22" t="s">
        <v>250</v>
      </c>
      <c r="G120" s="23">
        <f t="shared" si="0"/>
        <v>0</v>
      </c>
      <c r="H120" s="56">
        <f>H123</f>
        <v>0</v>
      </c>
      <c r="I120" s="56">
        <f>I123</f>
        <v>0</v>
      </c>
      <c r="J120" s="56">
        <f>J123</f>
        <v>0</v>
      </c>
      <c r="K120" s="56">
        <f>K123</f>
        <v>0</v>
      </c>
      <c r="L120" s="13"/>
      <c r="M120" s="24"/>
      <c r="P120" s="25"/>
    </row>
    <row r="121" spans="3:16" ht="15" customHeight="1">
      <c r="C121" s="6"/>
      <c r="D121" s="54" t="s">
        <v>251</v>
      </c>
      <c r="E121" s="49" t="s">
        <v>193</v>
      </c>
      <c r="F121" s="22" t="s">
        <v>252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5" customHeight="1">
      <c r="C122" s="6"/>
      <c r="D122" s="54" t="s">
        <v>253</v>
      </c>
      <c r="E122" s="50" t="s">
        <v>254</v>
      </c>
      <c r="F122" s="22" t="s">
        <v>255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>
      <c r="C123" s="6"/>
      <c r="D123" s="54" t="s">
        <v>256</v>
      </c>
      <c r="E123" s="49" t="s">
        <v>199</v>
      </c>
      <c r="F123" s="22" t="s">
        <v>257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27" customHeight="1">
      <c r="C124" s="6"/>
      <c r="D124" s="54" t="s">
        <v>258</v>
      </c>
      <c r="E124" s="47" t="s">
        <v>259</v>
      </c>
      <c r="F124" s="22" t="s">
        <v>260</v>
      </c>
      <c r="G124" s="23">
        <f t="shared" si="0"/>
        <v>3968.759</v>
      </c>
      <c r="H124" s="56">
        <f>SUM(H125:H126)</f>
        <v>0</v>
      </c>
      <c r="I124" s="56">
        <f>SUM(I125:I126)</f>
        <v>3130.7869999999998</v>
      </c>
      <c r="J124" s="56">
        <f>SUM(J125:J126)</f>
        <v>269.14699999999999</v>
      </c>
      <c r="K124" s="56">
        <f>SUM(K125:K126)</f>
        <v>568.82500000000005</v>
      </c>
      <c r="L124" s="13"/>
      <c r="M124" s="24"/>
      <c r="P124" s="25"/>
    </row>
    <row r="125" spans="3:16" ht="15" customHeight="1">
      <c r="C125" s="6"/>
      <c r="D125" s="54" t="s">
        <v>261</v>
      </c>
      <c r="E125" s="26" t="s">
        <v>187</v>
      </c>
      <c r="F125" s="22" t="s">
        <v>262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>
      <c r="C126" s="6"/>
      <c r="D126" s="54" t="s">
        <v>263</v>
      </c>
      <c r="E126" s="26" t="s">
        <v>190</v>
      </c>
      <c r="F126" s="22" t="s">
        <v>264</v>
      </c>
      <c r="G126" s="23">
        <f t="shared" si="0"/>
        <v>3968.759</v>
      </c>
      <c r="H126" s="56">
        <f>H128</f>
        <v>0</v>
      </c>
      <c r="I126" s="56">
        <f>I128</f>
        <v>3130.7869999999998</v>
      </c>
      <c r="J126" s="56">
        <f>J128</f>
        <v>269.14699999999999</v>
      </c>
      <c r="K126" s="56">
        <f>K128</f>
        <v>568.82500000000005</v>
      </c>
      <c r="L126" s="13"/>
      <c r="M126" s="24"/>
      <c r="P126" s="25"/>
    </row>
    <row r="127" spans="3:16" ht="15" customHeight="1">
      <c r="C127" s="6"/>
      <c r="D127" s="54" t="s">
        <v>265</v>
      </c>
      <c r="E127" s="49" t="s">
        <v>266</v>
      </c>
      <c r="F127" s="22" t="s">
        <v>267</v>
      </c>
      <c r="G127" s="23">
        <f t="shared" si="0"/>
        <v>10.55</v>
      </c>
      <c r="H127" s="55"/>
      <c r="I127" s="55">
        <v>10.55</v>
      </c>
      <c r="J127" s="55"/>
      <c r="K127" s="55"/>
      <c r="L127" s="13"/>
      <c r="M127" s="24"/>
      <c r="P127" s="25"/>
    </row>
    <row r="128" spans="3:16" ht="15" customHeight="1">
      <c r="C128" s="6"/>
      <c r="D128" s="54" t="s">
        <v>268</v>
      </c>
      <c r="E128" s="49" t="s">
        <v>199</v>
      </c>
      <c r="F128" s="22" t="s">
        <v>269</v>
      </c>
      <c r="G128" s="23">
        <f t="shared" si="0"/>
        <v>3968.759</v>
      </c>
      <c r="H128" s="55"/>
      <c r="I128" s="55">
        <f>I34+G48</f>
        <v>3130.7869999999998</v>
      </c>
      <c r="J128" s="55">
        <f>J34</f>
        <v>269.14699999999999</v>
      </c>
      <c r="K128" s="55">
        <f>K34</f>
        <v>568.82500000000005</v>
      </c>
      <c r="L128" s="13"/>
      <c r="M128" s="24"/>
      <c r="P128" s="25"/>
    </row>
    <row r="129" spans="3:16" ht="15" customHeight="1">
      <c r="C129" s="6"/>
      <c r="D129" s="83" t="s">
        <v>270</v>
      </c>
      <c r="E129" s="84"/>
      <c r="F129" s="84"/>
      <c r="G129" s="84"/>
      <c r="H129" s="84"/>
      <c r="I129" s="84"/>
      <c r="J129" s="84"/>
      <c r="K129" s="85"/>
      <c r="L129" s="13"/>
      <c r="M129" s="24"/>
      <c r="P129" s="59"/>
    </row>
    <row r="130" spans="3:16" ht="22.5">
      <c r="C130" s="6"/>
      <c r="D130" s="54" t="s">
        <v>271</v>
      </c>
      <c r="E130" s="21" t="s">
        <v>272</v>
      </c>
      <c r="F130" s="22" t="s">
        <v>273</v>
      </c>
      <c r="G130" s="23">
        <f t="shared" si="0"/>
        <v>0</v>
      </c>
      <c r="H130" s="56">
        <f>SUM( H131:H132)</f>
        <v>0</v>
      </c>
      <c r="I130" s="56">
        <f>SUM( I131:I132)</f>
        <v>0</v>
      </c>
      <c r="J130" s="56">
        <f>SUM( J131:J132)</f>
        <v>0</v>
      </c>
      <c r="K130" s="56">
        <f>SUM( K131:K132)</f>
        <v>0</v>
      </c>
      <c r="L130" s="13"/>
      <c r="M130" s="24"/>
      <c r="P130" s="25"/>
    </row>
    <row r="131" spans="3:16" ht="15" customHeight="1">
      <c r="C131" s="6"/>
      <c r="D131" s="54" t="s">
        <v>274</v>
      </c>
      <c r="E131" s="26" t="s">
        <v>187</v>
      </c>
      <c r="F131" s="22" t="s">
        <v>275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>
      <c r="C132" s="6"/>
      <c r="D132" s="54" t="s">
        <v>276</v>
      </c>
      <c r="E132" s="26" t="s">
        <v>190</v>
      </c>
      <c r="F132" s="22" t="s">
        <v>277</v>
      </c>
      <c r="G132" s="23">
        <f t="shared" si="0"/>
        <v>0</v>
      </c>
      <c r="H132" s="56">
        <f>H133+H135</f>
        <v>0</v>
      </c>
      <c r="I132" s="56">
        <f>I133+I135</f>
        <v>0</v>
      </c>
      <c r="J132" s="56">
        <f>J133+J135</f>
        <v>0</v>
      </c>
      <c r="K132" s="56">
        <f>K133+K135</f>
        <v>0</v>
      </c>
      <c r="L132" s="13"/>
      <c r="M132" s="24"/>
      <c r="P132" s="25"/>
    </row>
    <row r="133" spans="3:16" ht="15" customHeight="1">
      <c r="C133" s="6"/>
      <c r="D133" s="54" t="s">
        <v>278</v>
      </c>
      <c r="E133" s="49" t="s">
        <v>279</v>
      </c>
      <c r="F133" s="22" t="s">
        <v>280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>
      <c r="C134" s="6"/>
      <c r="D134" s="54" t="s">
        <v>281</v>
      </c>
      <c r="E134" s="50" t="s">
        <v>282</v>
      </c>
      <c r="F134" s="22" t="s">
        <v>283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59"/>
    </row>
    <row r="135" spans="3:16" ht="15" customHeight="1">
      <c r="C135" s="6"/>
      <c r="D135" s="54" t="s">
        <v>284</v>
      </c>
      <c r="E135" s="49" t="s">
        <v>285</v>
      </c>
      <c r="F135" s="22" t="s">
        <v>286</v>
      </c>
      <c r="G135" s="23">
        <f t="shared" si="0"/>
        <v>0</v>
      </c>
      <c r="H135" s="55"/>
      <c r="I135" s="55"/>
      <c r="J135" s="55"/>
      <c r="K135" s="55"/>
      <c r="L135" s="13"/>
      <c r="M135" s="24"/>
      <c r="P135" s="25"/>
    </row>
    <row r="136" spans="3:16" ht="15" customHeight="1">
      <c r="C136" s="6"/>
      <c r="D136" s="54" t="s">
        <v>29</v>
      </c>
      <c r="E136" s="21" t="s">
        <v>287</v>
      </c>
      <c r="F136" s="22" t="s">
        <v>288</v>
      </c>
      <c r="G136" s="23">
        <f t="shared" si="0"/>
        <v>0</v>
      </c>
      <c r="H136" s="57">
        <f>SUM( H137+H142)</f>
        <v>0</v>
      </c>
      <c r="I136" s="57">
        <f>SUM( I137+I142)</f>
        <v>0</v>
      </c>
      <c r="J136" s="57">
        <f>SUM( J137+J142)</f>
        <v>0</v>
      </c>
      <c r="K136" s="57">
        <f>SUM( K137+K142)</f>
        <v>0</v>
      </c>
      <c r="L136" s="60"/>
      <c r="M136" s="24"/>
      <c r="P136" s="25"/>
    </row>
    <row r="137" spans="3:16" ht="15" customHeight="1">
      <c r="C137" s="6"/>
      <c r="D137" s="54" t="s">
        <v>289</v>
      </c>
      <c r="E137" s="26" t="s">
        <v>187</v>
      </c>
      <c r="F137" s="22" t="s">
        <v>290</v>
      </c>
      <c r="G137" s="23">
        <f t="shared" ref="G137:G150" si="1">SUM(H137:K137)</f>
        <v>0</v>
      </c>
      <c r="H137" s="57">
        <f>SUM( H138:H139)</f>
        <v>0</v>
      </c>
      <c r="I137" s="57">
        <f>SUM( I138:I139)</f>
        <v>0</v>
      </c>
      <c r="J137" s="57">
        <f>SUM( J138:J139)</f>
        <v>0</v>
      </c>
      <c r="K137" s="57">
        <f>SUM( K138:K139)</f>
        <v>0</v>
      </c>
      <c r="L137" s="60"/>
      <c r="M137" s="24"/>
      <c r="P137" s="25"/>
    </row>
    <row r="138" spans="3:16" ht="15" customHeight="1">
      <c r="C138" s="6"/>
      <c r="D138" s="54" t="s">
        <v>291</v>
      </c>
      <c r="E138" s="49" t="s">
        <v>208</v>
      </c>
      <c r="F138" s="22" t="s">
        <v>292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293</v>
      </c>
      <c r="E139" s="49" t="s">
        <v>211</v>
      </c>
      <c r="F139" s="22" t="s">
        <v>294</v>
      </c>
      <c r="G139" s="23">
        <f t="shared" si="1"/>
        <v>0</v>
      </c>
      <c r="H139" s="57">
        <f>H140+H141</f>
        <v>0</v>
      </c>
      <c r="I139" s="57">
        <f>I140+I141</f>
        <v>0</v>
      </c>
      <c r="J139" s="57">
        <f>J140+J141</f>
        <v>0</v>
      </c>
      <c r="K139" s="57">
        <f>K140+K141</f>
        <v>0</v>
      </c>
      <c r="L139" s="60"/>
      <c r="M139" s="24"/>
      <c r="P139" s="25"/>
    </row>
    <row r="140" spans="3:16" ht="15" customHeight="1">
      <c r="C140" s="6"/>
      <c r="D140" s="54" t="s">
        <v>295</v>
      </c>
      <c r="E140" s="50" t="s">
        <v>217</v>
      </c>
      <c r="F140" s="22" t="s">
        <v>296</v>
      </c>
      <c r="G140" s="23">
        <f t="shared" si="1"/>
        <v>0</v>
      </c>
      <c r="H140" s="61"/>
      <c r="I140" s="61"/>
      <c r="J140" s="61"/>
      <c r="K140" s="61"/>
      <c r="L140" s="60"/>
      <c r="M140" s="24"/>
      <c r="P140" s="25"/>
    </row>
    <row r="141" spans="3:16" ht="15" customHeight="1">
      <c r="C141" s="6"/>
      <c r="D141" s="54" t="s">
        <v>297</v>
      </c>
      <c r="E141" s="50" t="s">
        <v>298</v>
      </c>
      <c r="F141" s="22" t="s">
        <v>299</v>
      </c>
      <c r="G141" s="23">
        <f t="shared" si="1"/>
        <v>0</v>
      </c>
      <c r="H141" s="61"/>
      <c r="I141" s="61"/>
      <c r="J141" s="61"/>
      <c r="K141" s="61"/>
      <c r="L141" s="60"/>
      <c r="M141" s="24"/>
      <c r="P141" s="25"/>
    </row>
    <row r="142" spans="3:16" ht="15" customHeight="1">
      <c r="C142" s="6"/>
      <c r="D142" s="54" t="s">
        <v>300</v>
      </c>
      <c r="E142" s="26" t="s">
        <v>249</v>
      </c>
      <c r="F142" s="22" t="s">
        <v>301</v>
      </c>
      <c r="G142" s="23">
        <f t="shared" si="1"/>
        <v>0</v>
      </c>
      <c r="H142" s="57">
        <f>H143+H145</f>
        <v>0</v>
      </c>
      <c r="I142" s="57">
        <f>I143+I145</f>
        <v>0</v>
      </c>
      <c r="J142" s="57">
        <f>J143+J145</f>
        <v>0</v>
      </c>
      <c r="K142" s="57">
        <f>K143+K145</f>
        <v>0</v>
      </c>
      <c r="L142" s="60"/>
      <c r="M142" s="24"/>
      <c r="P142" s="25"/>
    </row>
    <row r="143" spans="3:16" ht="15" customHeight="1">
      <c r="C143" s="6"/>
      <c r="D143" s="54" t="s">
        <v>302</v>
      </c>
      <c r="E143" s="49" t="s">
        <v>279</v>
      </c>
      <c r="F143" s="22" t="s">
        <v>303</v>
      </c>
      <c r="G143" s="23">
        <f t="shared" si="1"/>
        <v>0</v>
      </c>
      <c r="H143" s="55"/>
      <c r="I143" s="55"/>
      <c r="J143" s="55"/>
      <c r="K143" s="55"/>
      <c r="L143" s="60"/>
      <c r="M143" s="24"/>
      <c r="P143" s="25"/>
    </row>
    <row r="144" spans="3:16" ht="15" customHeight="1">
      <c r="C144" s="6"/>
      <c r="D144" s="54" t="s">
        <v>304</v>
      </c>
      <c r="E144" s="50" t="s">
        <v>282</v>
      </c>
      <c r="F144" s="22" t="s">
        <v>305</v>
      </c>
      <c r="G144" s="23">
        <f t="shared" si="1"/>
        <v>0</v>
      </c>
      <c r="H144" s="55"/>
      <c r="I144" s="55"/>
      <c r="J144" s="55"/>
      <c r="K144" s="55"/>
      <c r="L144" s="60"/>
      <c r="M144" s="24"/>
      <c r="P144" s="25"/>
    </row>
    <row r="145" spans="3:19" ht="15" customHeight="1">
      <c r="C145" s="6"/>
      <c r="D145" s="54" t="s">
        <v>306</v>
      </c>
      <c r="E145" s="49" t="s">
        <v>285</v>
      </c>
      <c r="F145" s="22" t="s">
        <v>307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/>
    </row>
    <row r="146" spans="3:19" ht="28.5" customHeight="1">
      <c r="C146" s="6"/>
      <c r="D146" s="54" t="s">
        <v>308</v>
      </c>
      <c r="E146" s="21" t="s">
        <v>309</v>
      </c>
      <c r="F146" s="22" t="s">
        <v>310</v>
      </c>
      <c r="G146" s="23">
        <f t="shared" si="1"/>
        <v>2473.7371739600003</v>
      </c>
      <c r="H146" s="63">
        <f>SUM( H147:H148)</f>
        <v>0</v>
      </c>
      <c r="I146" s="63">
        <f>SUM( I147:I148)</f>
        <v>2335.5220722800004</v>
      </c>
      <c r="J146" s="63">
        <f>SUM( J147:J148)</f>
        <v>44.393106179999997</v>
      </c>
      <c r="K146" s="63">
        <f>SUM( K147:K148)</f>
        <v>93.821995500000014</v>
      </c>
      <c r="L146" s="60"/>
      <c r="M146" s="24"/>
      <c r="P146" s="25"/>
    </row>
    <row r="147" spans="3:19" ht="15" customHeight="1">
      <c r="C147" s="6"/>
      <c r="D147" s="54" t="s">
        <v>311</v>
      </c>
      <c r="E147" s="26" t="s">
        <v>187</v>
      </c>
      <c r="F147" s="22" t="s">
        <v>312</v>
      </c>
      <c r="G147" s="23">
        <f t="shared" si="1"/>
        <v>0</v>
      </c>
      <c r="H147" s="62"/>
      <c r="I147" s="62"/>
      <c r="J147" s="62"/>
      <c r="K147" s="62"/>
      <c r="L147" s="60"/>
      <c r="M147" s="24"/>
      <c r="P147" s="25"/>
    </row>
    <row r="148" spans="3:19" ht="15" customHeight="1">
      <c r="C148" s="6"/>
      <c r="D148" s="54" t="s">
        <v>313</v>
      </c>
      <c r="E148" s="26" t="s">
        <v>190</v>
      </c>
      <c r="F148" s="22" t="s">
        <v>314</v>
      </c>
      <c r="G148" s="23">
        <f t="shared" si="1"/>
        <v>2473.7371739600003</v>
      </c>
      <c r="H148" s="63">
        <f>H149+H150</f>
        <v>0</v>
      </c>
      <c r="I148" s="63">
        <f>I149+I150</f>
        <v>2335.5220722800004</v>
      </c>
      <c r="J148" s="63">
        <f>J149+J150</f>
        <v>44.393106179999997</v>
      </c>
      <c r="K148" s="63">
        <f>K149+K150</f>
        <v>93.821995500000014</v>
      </c>
      <c r="L148" s="60"/>
      <c r="M148" s="24"/>
      <c r="P148" s="25"/>
    </row>
    <row r="149" spans="3:19" ht="15" customHeight="1">
      <c r="C149" s="6"/>
      <c r="D149" s="54" t="s">
        <v>315</v>
      </c>
      <c r="E149" s="49" t="s">
        <v>316</v>
      </c>
      <c r="F149" s="22" t="s">
        <v>317</v>
      </c>
      <c r="G149" s="23">
        <f t="shared" si="1"/>
        <v>1819.1300645000003</v>
      </c>
      <c r="H149" s="62"/>
      <c r="I149" s="55">
        <f>I127*172429.39/1000</f>
        <v>1819.1300645000003</v>
      </c>
      <c r="J149" s="55"/>
      <c r="K149" s="55"/>
      <c r="L149" s="60"/>
      <c r="M149" s="24"/>
      <c r="P149" s="25"/>
    </row>
    <row r="150" spans="3:19" ht="15" customHeight="1">
      <c r="C150" s="6"/>
      <c r="D150" s="54" t="s">
        <v>319</v>
      </c>
      <c r="E150" s="49" t="s">
        <v>285</v>
      </c>
      <c r="F150" s="22" t="s">
        <v>320</v>
      </c>
      <c r="G150" s="23">
        <f t="shared" si="1"/>
        <v>654.60710945999995</v>
      </c>
      <c r="H150" s="62"/>
      <c r="I150" s="55">
        <f>I128*0.16494</f>
        <v>516.39200777999997</v>
      </c>
      <c r="J150" s="55">
        <f>J128*0.16494</f>
        <v>44.393106179999997</v>
      </c>
      <c r="K150" s="55">
        <f>K128*0.16494</f>
        <v>93.821995500000014</v>
      </c>
      <c r="L150" s="60"/>
      <c r="M150" s="24"/>
      <c r="P150" s="25"/>
    </row>
    <row r="151" spans="3:19">
      <c r="D151" s="11"/>
      <c r="E151" s="64"/>
      <c r="F151" s="64"/>
      <c r="G151" s="64"/>
      <c r="H151" s="64"/>
      <c r="I151" s="64"/>
      <c r="J151" s="64"/>
      <c r="K151" s="65"/>
      <c r="L151" s="65"/>
      <c r="M151" s="65"/>
      <c r="N151" s="65"/>
      <c r="O151" s="65"/>
      <c r="P151" s="65"/>
      <c r="Q151" s="65"/>
      <c r="R151" s="66"/>
      <c r="S151" s="66"/>
    </row>
    <row r="152" spans="3:19" ht="12.75">
      <c r="E152" s="24" t="s">
        <v>322</v>
      </c>
      <c r="F152" s="76" t="str">
        <f>IF([6]Титульный!G45="","",[6]Титульный!G45)</f>
        <v>экономист</v>
      </c>
      <c r="G152" s="76"/>
      <c r="H152" s="67"/>
      <c r="I152" s="76" t="str">
        <f>IF([6]Титульный!G44="","",[6]Титульный!G44)</f>
        <v>Гизикова А.Н.</v>
      </c>
      <c r="J152" s="76"/>
      <c r="K152" s="76"/>
      <c r="L152" s="67"/>
      <c r="M152" s="68"/>
      <c r="N152" s="68"/>
      <c r="O152" s="69"/>
      <c r="P152" s="65"/>
      <c r="Q152" s="65"/>
      <c r="R152" s="66"/>
      <c r="S152" s="66"/>
    </row>
    <row r="153" spans="3:19" ht="12.75">
      <c r="E153" s="70" t="s">
        <v>323</v>
      </c>
      <c r="F153" s="86" t="s">
        <v>324</v>
      </c>
      <c r="G153" s="86"/>
      <c r="H153" s="69"/>
      <c r="I153" s="86" t="s">
        <v>325</v>
      </c>
      <c r="J153" s="86"/>
      <c r="K153" s="86"/>
      <c r="L153" s="69"/>
      <c r="M153" s="86" t="s">
        <v>326</v>
      </c>
      <c r="N153" s="86"/>
      <c r="O153" s="24"/>
      <c r="P153" s="65"/>
      <c r="Q153" s="65"/>
      <c r="R153" s="66"/>
      <c r="S153" s="66"/>
    </row>
    <row r="154" spans="3:19" ht="12.75">
      <c r="E154" s="70" t="s">
        <v>327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65"/>
      <c r="Q154" s="65"/>
      <c r="R154" s="66"/>
      <c r="S154" s="66"/>
    </row>
    <row r="155" spans="3:19" ht="12.75">
      <c r="E155" s="70" t="s">
        <v>328</v>
      </c>
      <c r="F155" s="76" t="str">
        <f>IF([6]Титульный!G46="","",[6]Титульный!G46)</f>
        <v>(861) 258-50-71</v>
      </c>
      <c r="G155" s="76"/>
      <c r="H155" s="76"/>
      <c r="I155" s="24"/>
      <c r="J155" s="70" t="s">
        <v>329</v>
      </c>
      <c r="K155" s="71"/>
      <c r="L155" s="24"/>
      <c r="M155" s="24"/>
      <c r="N155" s="24"/>
      <c r="O155" s="24"/>
      <c r="P155" s="65"/>
      <c r="Q155" s="65"/>
      <c r="R155" s="66"/>
      <c r="S155" s="66"/>
    </row>
    <row r="156" spans="3:19" ht="12.75">
      <c r="E156" s="24" t="s">
        <v>330</v>
      </c>
      <c r="F156" s="87" t="s">
        <v>331</v>
      </c>
      <c r="G156" s="87"/>
      <c r="H156" s="87"/>
      <c r="I156" s="24"/>
      <c r="J156" s="72" t="s">
        <v>332</v>
      </c>
      <c r="K156" s="72"/>
      <c r="L156" s="24"/>
      <c r="M156" s="24"/>
      <c r="N156" s="24"/>
      <c r="O156" s="24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  <row r="184" spans="5:19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</row>
    <row r="185" spans="5:19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81 E65 E58 E19 E42"/>
    <dataValidation type="decimal" allowBlank="1" showErrorMessage="1" errorTitle="Ошибка" error="Допускается ввод только действительных чисел!" sqref="G24:K26 J67:K81 G67:H81 I67:I75 I77:I81 G21:K22 G60:K61 G130:K150 G28:K42 G44:K52 G63:K65 G97:K128 G83:K91 G93:K95 G15:K19 G54:H58 I54:K57 K58 I58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indexed="31"/>
  </sheetPr>
  <dimension ref="A1:CC185"/>
  <sheetViews>
    <sheetView topLeftCell="C7" workbookViewId="0">
      <selection activeCell="L19" sqref="L19:Q150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338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4820.5149999999994</v>
      </c>
      <c r="H15" s="23">
        <f>H16+H17+H21+H24</f>
        <v>0</v>
      </c>
      <c r="I15" s="23">
        <f>I16+I17+I21+I24</f>
        <v>4819.5339999999997</v>
      </c>
      <c r="J15" s="23">
        <f>J16+J17+J21+J24</f>
        <v>0.98099999999999998</v>
      </c>
      <c r="K15" s="23">
        <f>K16+K17+K21+K24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6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0.98099999999999998</v>
      </c>
      <c r="H17" s="23">
        <f>SUM(H18:H20)</f>
        <v>0</v>
      </c>
      <c r="I17" s="23">
        <f>SUM(I18:I20)</f>
        <v>0</v>
      </c>
      <c r="J17" s="23">
        <f>SUM(J18:J20)</f>
        <v>0.98099999999999998</v>
      </c>
      <c r="K17" s="23">
        <f>SUM(K18:K20)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32" t="s">
        <v>30</v>
      </c>
      <c r="D19" s="33" t="s">
        <v>31</v>
      </c>
      <c r="E19" s="34" t="s">
        <v>32</v>
      </c>
      <c r="F19" s="35">
        <v>31</v>
      </c>
      <c r="G19" s="36">
        <f>SUM(H19:K19)</f>
        <v>0.98099999999999998</v>
      </c>
      <c r="H19" s="37"/>
      <c r="I19" s="37"/>
      <c r="J19" s="37">
        <v>0.98099999999999998</v>
      </c>
      <c r="K19" s="38"/>
      <c r="L19" s="19"/>
      <c r="M19" s="39"/>
      <c r="N19" s="40"/>
      <c r="O19" s="40"/>
    </row>
    <row r="20" spans="3:16" s="17" customFormat="1" ht="15" customHeight="1">
      <c r="C20" s="18"/>
      <c r="D20" s="41"/>
      <c r="E20" s="42" t="s">
        <v>33</v>
      </c>
      <c r="F20" s="43"/>
      <c r="G20" s="43"/>
      <c r="H20" s="43"/>
      <c r="I20" s="43"/>
      <c r="J20" s="43"/>
      <c r="K20" s="44"/>
      <c r="L20" s="19"/>
      <c r="M20" s="24"/>
      <c r="P20" s="45"/>
    </row>
    <row r="21" spans="3:16" s="17" customFormat="1" ht="15" customHeight="1">
      <c r="C21" s="18"/>
      <c r="D21" s="20" t="s">
        <v>34</v>
      </c>
      <c r="E21" s="26" t="s">
        <v>35</v>
      </c>
      <c r="F21" s="22" t="s">
        <v>36</v>
      </c>
      <c r="G21" s="23">
        <f t="shared" si="0"/>
        <v>0</v>
      </c>
      <c r="H21" s="23">
        <f>SUM(H22:H23)</f>
        <v>0</v>
      </c>
      <c r="I21" s="23">
        <f>SUM(I22:I23)</f>
        <v>0</v>
      </c>
      <c r="J21" s="23">
        <f>SUM(J22:J23)</f>
        <v>0</v>
      </c>
      <c r="K21" s="23">
        <f>SUM(K22:K23)</f>
        <v>0</v>
      </c>
      <c r="L21" s="19"/>
      <c r="M21" s="24"/>
      <c r="P21" s="45"/>
    </row>
    <row r="22" spans="3:16" s="17" customFormat="1" ht="12.75" hidden="1">
      <c r="C22" s="18"/>
      <c r="D22" s="28" t="s">
        <v>37</v>
      </c>
      <c r="E22" s="29"/>
      <c r="F22" s="30" t="s">
        <v>36</v>
      </c>
      <c r="G22" s="31"/>
      <c r="H22" s="31"/>
      <c r="I22" s="31"/>
      <c r="J22" s="31"/>
      <c r="K22" s="31"/>
      <c r="L22" s="19"/>
      <c r="M22" s="24"/>
      <c r="P22" s="25"/>
    </row>
    <row r="23" spans="3:16" s="17" customFormat="1" ht="15" customHeight="1">
      <c r="C23" s="18"/>
      <c r="D23" s="41"/>
      <c r="E23" s="42" t="s">
        <v>33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>
      <c r="C24" s="18"/>
      <c r="D24" s="20" t="s">
        <v>38</v>
      </c>
      <c r="E24" s="26" t="s">
        <v>39</v>
      </c>
      <c r="F24" s="22" t="s">
        <v>40</v>
      </c>
      <c r="G24" s="23">
        <f t="shared" si="0"/>
        <v>4819.5339999999997</v>
      </c>
      <c r="H24" s="23">
        <f>SUM(H25:H27)</f>
        <v>0</v>
      </c>
      <c r="I24" s="23">
        <f>SUM(I25:I27)</f>
        <v>4819.5339999999997</v>
      </c>
      <c r="J24" s="23">
        <f>SUM(J25:J27)</f>
        <v>0</v>
      </c>
      <c r="K24" s="23">
        <f>SUM(K25:K27)</f>
        <v>0</v>
      </c>
      <c r="L24" s="19"/>
      <c r="M24" s="24"/>
      <c r="P24" s="25"/>
    </row>
    <row r="25" spans="3:16" s="17" customFormat="1" ht="12.75" hidden="1">
      <c r="C25" s="18"/>
      <c r="D25" s="28" t="s">
        <v>41</v>
      </c>
      <c r="E25" s="29"/>
      <c r="F25" s="30" t="s">
        <v>40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>
      <c r="C26" s="32" t="s">
        <v>30</v>
      </c>
      <c r="D26" s="33" t="s">
        <v>42</v>
      </c>
      <c r="E26" s="34" t="s">
        <v>43</v>
      </c>
      <c r="F26" s="35">
        <v>431</v>
      </c>
      <c r="G26" s="36">
        <f>SUM(H26:K26)</f>
        <v>4819.5339999999997</v>
      </c>
      <c r="H26" s="37"/>
      <c r="I26" s="37">
        <v>4819.5339999999997</v>
      </c>
      <c r="J26" s="37"/>
      <c r="K26" s="38"/>
      <c r="L26" s="19"/>
      <c r="M26" s="39"/>
      <c r="N26" s="40"/>
      <c r="O26" s="40"/>
    </row>
    <row r="27" spans="3:16" s="17" customFormat="1" ht="15" customHeight="1">
      <c r="C27" s="18"/>
      <c r="D27" s="41"/>
      <c r="E27" s="42" t="s">
        <v>33</v>
      </c>
      <c r="F27" s="43"/>
      <c r="G27" s="43"/>
      <c r="H27" s="43"/>
      <c r="I27" s="43"/>
      <c r="J27" s="43"/>
      <c r="K27" s="44"/>
      <c r="L27" s="19"/>
      <c r="M27" s="24"/>
      <c r="P27" s="25"/>
    </row>
    <row r="28" spans="3:16" s="17" customFormat="1" ht="15" customHeight="1">
      <c r="C28" s="18"/>
      <c r="D28" s="20" t="s">
        <v>44</v>
      </c>
      <c r="E28" s="21" t="s">
        <v>45</v>
      </c>
      <c r="F28" s="22" t="s">
        <v>46</v>
      </c>
      <c r="G28" s="23">
        <f t="shared" si="0"/>
        <v>1969.098</v>
      </c>
      <c r="H28" s="23">
        <f>H30+H31+H32</f>
        <v>0</v>
      </c>
      <c r="I28" s="23">
        <f>I29+I31+I32</f>
        <v>0</v>
      </c>
      <c r="J28" s="23">
        <f>J29+J30+J32</f>
        <v>1167.405</v>
      </c>
      <c r="K28" s="23">
        <f>K29+K30+K31</f>
        <v>801.69299999999998</v>
      </c>
      <c r="L28" s="19"/>
      <c r="M28" s="24"/>
      <c r="P28" s="25"/>
    </row>
    <row r="29" spans="3:16" s="17" customFormat="1" ht="15" customHeight="1">
      <c r="C29" s="18"/>
      <c r="D29" s="20" t="s">
        <v>47</v>
      </c>
      <c r="E29" s="26" t="s">
        <v>17</v>
      </c>
      <c r="F29" s="22" t="s">
        <v>48</v>
      </c>
      <c r="G29" s="23">
        <f t="shared" si="0"/>
        <v>0</v>
      </c>
      <c r="H29" s="46"/>
      <c r="I29" s="27"/>
      <c r="J29" s="27"/>
      <c r="K29" s="27"/>
      <c r="L29" s="19"/>
      <c r="M29" s="24"/>
      <c r="P29" s="25"/>
    </row>
    <row r="30" spans="3:16" s="17" customFormat="1" ht="15" customHeight="1">
      <c r="C30" s="18"/>
      <c r="D30" s="20" t="s">
        <v>49</v>
      </c>
      <c r="E30" s="26" t="s">
        <v>18</v>
      </c>
      <c r="F30" s="22" t="s">
        <v>50</v>
      </c>
      <c r="G30" s="23">
        <f t="shared" si="0"/>
        <v>1167.405</v>
      </c>
      <c r="H30" s="27"/>
      <c r="I30" s="46"/>
      <c r="J30" s="27">
        <f>I15-I34-I48</f>
        <v>1167.405</v>
      </c>
      <c r="K30" s="27"/>
      <c r="L30" s="19"/>
      <c r="M30" s="24"/>
      <c r="P30" s="25"/>
    </row>
    <row r="31" spans="3:16" s="17" customFormat="1" ht="15" customHeight="1">
      <c r="C31" s="18"/>
      <c r="D31" s="20" t="s">
        <v>51</v>
      </c>
      <c r="E31" s="26" t="s">
        <v>19</v>
      </c>
      <c r="F31" s="22" t="s">
        <v>52</v>
      </c>
      <c r="G31" s="23">
        <f t="shared" si="0"/>
        <v>801.69299999999998</v>
      </c>
      <c r="H31" s="27"/>
      <c r="I31" s="27"/>
      <c r="J31" s="46"/>
      <c r="K31" s="27">
        <f>J15+J28-J34-J48</f>
        <v>801.69299999999998</v>
      </c>
      <c r="L31" s="19"/>
      <c r="M31" s="24"/>
      <c r="P31" s="25"/>
    </row>
    <row r="32" spans="3:16" s="17" customFormat="1" ht="15" customHeight="1">
      <c r="C32" s="18"/>
      <c r="D32" s="20" t="s">
        <v>53</v>
      </c>
      <c r="E32" s="26" t="s">
        <v>54</v>
      </c>
      <c r="F32" s="22" t="s">
        <v>55</v>
      </c>
      <c r="G32" s="23">
        <f t="shared" si="0"/>
        <v>0</v>
      </c>
      <c r="H32" s="27"/>
      <c r="I32" s="27"/>
      <c r="J32" s="27"/>
      <c r="K32" s="46"/>
      <c r="L32" s="19"/>
      <c r="M32" s="24"/>
      <c r="P32" s="25"/>
    </row>
    <row r="33" spans="3:16" s="17" customFormat="1" ht="15" customHeight="1">
      <c r="C33" s="18"/>
      <c r="D33" s="20" t="s">
        <v>56</v>
      </c>
      <c r="E33" s="47" t="s">
        <v>57</v>
      </c>
      <c r="F33" s="22" t="s">
        <v>58</v>
      </c>
      <c r="G33" s="23">
        <f t="shared" si="0"/>
        <v>0</v>
      </c>
      <c r="H33" s="27"/>
      <c r="I33" s="27"/>
      <c r="J33" s="27"/>
      <c r="K33" s="27"/>
      <c r="L33" s="19"/>
      <c r="M33" s="24"/>
      <c r="P33" s="25"/>
    </row>
    <row r="34" spans="3:16" s="17" customFormat="1" ht="15" customHeight="1">
      <c r="C34" s="18"/>
      <c r="D34" s="20" t="s">
        <v>59</v>
      </c>
      <c r="E34" s="21" t="s">
        <v>60</v>
      </c>
      <c r="F34" s="48" t="s">
        <v>61</v>
      </c>
      <c r="G34" s="23">
        <f t="shared" si="0"/>
        <v>4718.2369999999992</v>
      </c>
      <c r="H34" s="23">
        <f>H35+H37+H40+H44</f>
        <v>0</v>
      </c>
      <c r="I34" s="23">
        <f>I35+I37+I40+I44</f>
        <v>3604.3019999999997</v>
      </c>
      <c r="J34" s="23">
        <f>J35+J37+J40+J44</f>
        <v>339.63099999999997</v>
      </c>
      <c r="K34" s="23">
        <f>K35+K37+K40+K44</f>
        <v>774.30399999999997</v>
      </c>
      <c r="L34" s="19"/>
      <c r="M34" s="24"/>
      <c r="P34" s="25"/>
    </row>
    <row r="35" spans="3:16" s="17" customFormat="1" ht="22.5">
      <c r="C35" s="18"/>
      <c r="D35" s="20" t="s">
        <v>62</v>
      </c>
      <c r="E35" s="26" t="s">
        <v>63</v>
      </c>
      <c r="F35" s="22" t="s">
        <v>64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65</v>
      </c>
      <c r="E36" s="49" t="s">
        <v>66</v>
      </c>
      <c r="F36" s="22" t="s">
        <v>67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>
      <c r="C37" s="18"/>
      <c r="D37" s="20" t="s">
        <v>68</v>
      </c>
      <c r="E37" s="26" t="s">
        <v>69</v>
      </c>
      <c r="F37" s="22" t="s">
        <v>70</v>
      </c>
      <c r="G37" s="23">
        <f t="shared" si="0"/>
        <v>1894.1350000000002</v>
      </c>
      <c r="H37" s="27"/>
      <c r="I37" s="27">
        <v>780.2</v>
      </c>
      <c r="J37" s="27">
        <v>339.63099999999997</v>
      </c>
      <c r="K37" s="27">
        <v>774.30399999999997</v>
      </c>
      <c r="L37" s="19"/>
      <c r="M37" s="24"/>
      <c r="P37" s="25"/>
    </row>
    <row r="38" spans="3:16" s="17" customFormat="1" ht="15" customHeight="1">
      <c r="C38" s="18"/>
      <c r="D38" s="20" t="s">
        <v>71</v>
      </c>
      <c r="E38" s="49" t="s">
        <v>72</v>
      </c>
      <c r="F38" s="22" t="s">
        <v>73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74</v>
      </c>
      <c r="E39" s="50" t="s">
        <v>66</v>
      </c>
      <c r="F39" s="22" t="s">
        <v>75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>
      <c r="C40" s="18"/>
      <c r="D40" s="20" t="s">
        <v>76</v>
      </c>
      <c r="E40" s="26" t="s">
        <v>77</v>
      </c>
      <c r="F40" s="22" t="s">
        <v>78</v>
      </c>
      <c r="G40" s="23">
        <f t="shared" si="0"/>
        <v>2824.1019999999999</v>
      </c>
      <c r="H40" s="23">
        <f>SUM(H41:H43)</f>
        <v>0</v>
      </c>
      <c r="I40" s="23">
        <f>SUM(I41:I43)</f>
        <v>2824.1019999999999</v>
      </c>
      <c r="J40" s="23">
        <f>SUM(J41:J43)</f>
        <v>0</v>
      </c>
      <c r="K40" s="23">
        <f>SUM(K41:K43)</f>
        <v>0</v>
      </c>
      <c r="L40" s="19"/>
      <c r="M40" s="24"/>
      <c r="P40" s="25"/>
    </row>
    <row r="41" spans="3:16" s="17" customFormat="1" ht="12.75" hidden="1">
      <c r="C41" s="18"/>
      <c r="D41" s="28" t="s">
        <v>79</v>
      </c>
      <c r="E41" s="29"/>
      <c r="F41" s="30" t="s">
        <v>78</v>
      </c>
      <c r="G41" s="31"/>
      <c r="H41" s="31"/>
      <c r="I41" s="31"/>
      <c r="J41" s="31"/>
      <c r="K41" s="31"/>
      <c r="L41" s="19"/>
      <c r="M41" s="24"/>
      <c r="P41" s="25"/>
    </row>
    <row r="42" spans="3:16" s="17" customFormat="1" ht="15" customHeight="1">
      <c r="C42" s="32" t="s">
        <v>30</v>
      </c>
      <c r="D42" s="33" t="s">
        <v>80</v>
      </c>
      <c r="E42" s="34" t="s">
        <v>81</v>
      </c>
      <c r="F42" s="35">
        <v>751</v>
      </c>
      <c r="G42" s="36">
        <f>SUM(H42:K42)</f>
        <v>2824.1019999999999</v>
      </c>
      <c r="H42" s="37"/>
      <c r="I42" s="37">
        <v>2824.1019999999999</v>
      </c>
      <c r="J42" s="37"/>
      <c r="K42" s="38"/>
      <c r="L42" s="19"/>
      <c r="M42" s="39"/>
      <c r="N42" s="40"/>
      <c r="O42" s="40"/>
    </row>
    <row r="43" spans="3:16" s="17" customFormat="1" ht="15" customHeight="1">
      <c r="C43" s="18"/>
      <c r="D43" s="51"/>
      <c r="E43" s="42" t="s">
        <v>33</v>
      </c>
      <c r="F43" s="43"/>
      <c r="G43" s="43"/>
      <c r="H43" s="43"/>
      <c r="I43" s="43"/>
      <c r="J43" s="43"/>
      <c r="K43" s="44"/>
      <c r="L43" s="19"/>
      <c r="M43" s="24"/>
      <c r="P43" s="25"/>
    </row>
    <row r="44" spans="3:16" s="17" customFormat="1" ht="15" customHeight="1">
      <c r="C44" s="18"/>
      <c r="D44" s="20" t="s">
        <v>82</v>
      </c>
      <c r="E44" s="52" t="s">
        <v>83</v>
      </c>
      <c r="F44" s="22" t="s">
        <v>84</v>
      </c>
      <c r="G44" s="23">
        <f t="shared" si="0"/>
        <v>0</v>
      </c>
      <c r="H44" s="27"/>
      <c r="I44" s="27"/>
      <c r="J44" s="27"/>
      <c r="K44" s="27"/>
      <c r="L44" s="19"/>
      <c r="M44" s="24"/>
      <c r="P44" s="25"/>
    </row>
    <row r="45" spans="3:16" s="17" customFormat="1" ht="15" customHeight="1">
      <c r="C45" s="18"/>
      <c r="D45" s="20" t="s">
        <v>85</v>
      </c>
      <c r="E45" s="21" t="s">
        <v>86</v>
      </c>
      <c r="F45" s="22" t="s">
        <v>87</v>
      </c>
      <c r="G45" s="23">
        <f t="shared" si="0"/>
        <v>1969.098</v>
      </c>
      <c r="H45" s="27"/>
      <c r="I45" s="27">
        <f>I15-I34-I48</f>
        <v>1167.405</v>
      </c>
      <c r="J45" s="27">
        <f>J19+J30-J37-J48</f>
        <v>801.69299999999998</v>
      </c>
      <c r="K45" s="27"/>
      <c r="L45" s="19"/>
      <c r="M45" s="24"/>
      <c r="P45" s="25"/>
    </row>
    <row r="46" spans="3:16" s="17" customFormat="1" ht="15" customHeight="1">
      <c r="C46" s="18"/>
      <c r="D46" s="20" t="s">
        <v>88</v>
      </c>
      <c r="E46" s="21" t="s">
        <v>89</v>
      </c>
      <c r="F46" s="22" t="s">
        <v>90</v>
      </c>
      <c r="G46" s="23">
        <f t="shared" si="0"/>
        <v>0</v>
      </c>
      <c r="H46" s="27"/>
      <c r="I46" s="27"/>
      <c r="J46" s="27"/>
      <c r="K46" s="27"/>
      <c r="L46" s="19"/>
      <c r="M46" s="24"/>
      <c r="P46" s="25"/>
    </row>
    <row r="47" spans="3:16" s="17" customFormat="1" ht="15" customHeight="1">
      <c r="C47" s="18"/>
      <c r="D47" s="20" t="s">
        <v>91</v>
      </c>
      <c r="E47" s="21" t="s">
        <v>92</v>
      </c>
      <c r="F47" s="22" t="s">
        <v>93</v>
      </c>
      <c r="G47" s="23">
        <f t="shared" si="0"/>
        <v>0</v>
      </c>
      <c r="H47" s="27"/>
      <c r="I47" s="27"/>
      <c r="J47" s="27"/>
      <c r="K47" s="27"/>
      <c r="L47" s="19"/>
      <c r="M47" s="24"/>
      <c r="P47" s="25"/>
    </row>
    <row r="48" spans="3:16" s="17" customFormat="1" ht="15" customHeight="1">
      <c r="C48" s="18"/>
      <c r="D48" s="20" t="s">
        <v>94</v>
      </c>
      <c r="E48" s="21" t="s">
        <v>95</v>
      </c>
      <c r="F48" s="22" t="s">
        <v>96</v>
      </c>
      <c r="G48" s="23">
        <f t="shared" si="0"/>
        <v>102.27799999999999</v>
      </c>
      <c r="H48" s="27"/>
      <c r="I48" s="27">
        <v>47.826999999999998</v>
      </c>
      <c r="J48" s="27">
        <v>27.062000000000001</v>
      </c>
      <c r="K48" s="27">
        <v>27.388999999999999</v>
      </c>
      <c r="L48" s="19"/>
      <c r="M48" s="24"/>
      <c r="P48" s="25"/>
    </row>
    <row r="49" spans="3:16" s="17" customFormat="1" ht="15" customHeight="1">
      <c r="C49" s="18"/>
      <c r="D49" s="20" t="s">
        <v>97</v>
      </c>
      <c r="E49" s="26" t="s">
        <v>98</v>
      </c>
      <c r="F49" s="22" t="s">
        <v>99</v>
      </c>
      <c r="G49" s="23">
        <f t="shared" si="0"/>
        <v>0</v>
      </c>
      <c r="H49" s="27"/>
      <c r="I49" s="27"/>
      <c r="J49" s="27"/>
      <c r="K49" s="27"/>
      <c r="L49" s="19"/>
      <c r="M49" s="24"/>
      <c r="P49" s="25"/>
    </row>
    <row r="50" spans="3:16" s="17" customFormat="1" ht="15" customHeight="1">
      <c r="C50" s="18"/>
      <c r="D50" s="20" t="s">
        <v>100</v>
      </c>
      <c r="E50" s="21" t="s">
        <v>101</v>
      </c>
      <c r="F50" s="22" t="s">
        <v>102</v>
      </c>
      <c r="G50" s="23">
        <f t="shared" si="0"/>
        <v>250</v>
      </c>
      <c r="H50" s="27"/>
      <c r="I50" s="27">
        <v>42.342636551804283</v>
      </c>
      <c r="J50" s="27">
        <v>97.863078355355825</v>
      </c>
      <c r="K50" s="27">
        <v>109.79428509283989</v>
      </c>
      <c r="L50" s="19"/>
      <c r="M50" s="24"/>
      <c r="P50" s="45"/>
    </row>
    <row r="51" spans="3:16" s="17" customFormat="1" ht="33.75">
      <c r="C51" s="18"/>
      <c r="D51" s="20" t="s">
        <v>103</v>
      </c>
      <c r="E51" s="47" t="s">
        <v>104</v>
      </c>
      <c r="F51" s="22" t="s">
        <v>105</v>
      </c>
      <c r="G51" s="23">
        <f t="shared" si="0"/>
        <v>-147.72199999999998</v>
      </c>
      <c r="H51" s="23">
        <f>H48-H50</f>
        <v>0</v>
      </c>
      <c r="I51" s="23">
        <f>I48-I50</f>
        <v>5.4843634481957153</v>
      </c>
      <c r="J51" s="23">
        <f>J48-J50</f>
        <v>-70.801078355355827</v>
      </c>
      <c r="K51" s="23">
        <f>K48-K50</f>
        <v>-82.40528509283989</v>
      </c>
      <c r="L51" s="19"/>
      <c r="M51" s="24"/>
      <c r="P51" s="45"/>
    </row>
    <row r="52" spans="3:16" s="17" customFormat="1" ht="15" customHeight="1">
      <c r="C52" s="18"/>
      <c r="D52" s="20" t="s">
        <v>106</v>
      </c>
      <c r="E52" s="21" t="s">
        <v>107</v>
      </c>
      <c r="F52" s="22" t="s">
        <v>108</v>
      </c>
      <c r="G52" s="23">
        <f t="shared" si="0"/>
        <v>0</v>
      </c>
      <c r="H52" s="23">
        <f>(H15+H28+H33)-(H34+H45+H46+H47+H48)</f>
        <v>0</v>
      </c>
      <c r="I52" s="23">
        <f>(I15+I28+I33)-(I34+I45+I46+I47+I48)</f>
        <v>0</v>
      </c>
      <c r="J52" s="23">
        <f>(J15+J28+J33)-(J34+J45+J46+J47+J48)</f>
        <v>0</v>
      </c>
      <c r="K52" s="23">
        <f>(K15+K28+K33)-(K34+K45+K46+K47+K48)</f>
        <v>0</v>
      </c>
      <c r="L52" s="19"/>
      <c r="M52" s="24"/>
      <c r="P52" s="25"/>
    </row>
    <row r="53" spans="3:16" s="17" customFormat="1" ht="15" customHeight="1">
      <c r="C53" s="18"/>
      <c r="D53" s="83" t="s">
        <v>109</v>
      </c>
      <c r="E53" s="84"/>
      <c r="F53" s="84"/>
      <c r="G53" s="84"/>
      <c r="H53" s="84"/>
      <c r="I53" s="84"/>
      <c r="J53" s="84"/>
      <c r="K53" s="85"/>
      <c r="L53" s="19"/>
      <c r="M53" s="24"/>
      <c r="P53" s="45"/>
    </row>
    <row r="54" spans="3:16" s="17" customFormat="1" ht="15" customHeight="1">
      <c r="C54" s="18"/>
      <c r="D54" s="20" t="s">
        <v>110</v>
      </c>
      <c r="E54" s="21" t="s">
        <v>23</v>
      </c>
      <c r="F54" s="22" t="s">
        <v>111</v>
      </c>
      <c r="G54" s="23">
        <f t="shared" si="0"/>
        <v>6.6951597222222219</v>
      </c>
      <c r="H54" s="23">
        <f>H55+H56+H60+H63</f>
        <v>0</v>
      </c>
      <c r="I54" s="23">
        <f>I55+I56+I60+I63</f>
        <v>6.693797222222222</v>
      </c>
      <c r="J54" s="23">
        <f>J55+J56+J60+J63</f>
        <v>1.3625E-3</v>
      </c>
      <c r="K54" s="23">
        <f>K55+K56+K60+K63</f>
        <v>0</v>
      </c>
      <c r="L54" s="19"/>
      <c r="M54" s="24"/>
      <c r="P54" s="25"/>
    </row>
    <row r="55" spans="3:16" s="17" customFormat="1" ht="15" customHeight="1">
      <c r="C55" s="18"/>
      <c r="D55" s="20" t="s">
        <v>112</v>
      </c>
      <c r="E55" s="26" t="s">
        <v>25</v>
      </c>
      <c r="F55" s="22" t="s">
        <v>113</v>
      </c>
      <c r="G55" s="23">
        <f t="shared" si="0"/>
        <v>0</v>
      </c>
      <c r="H55" s="27"/>
      <c r="I55" s="27"/>
      <c r="J55" s="27"/>
      <c r="K55" s="27"/>
      <c r="L55" s="19"/>
      <c r="M55" s="24"/>
      <c r="P55" s="25"/>
    </row>
    <row r="56" spans="3:16" s="17" customFormat="1" ht="15" customHeight="1">
      <c r="C56" s="18"/>
      <c r="D56" s="20" t="s">
        <v>114</v>
      </c>
      <c r="E56" s="26" t="s">
        <v>27</v>
      </c>
      <c r="F56" s="22" t="s">
        <v>115</v>
      </c>
      <c r="G56" s="23">
        <f t="shared" si="0"/>
        <v>1.3625E-3</v>
      </c>
      <c r="H56" s="23">
        <f>SUM(H57:H59)</f>
        <v>0</v>
      </c>
      <c r="I56" s="23">
        <f>SUM(I57:I59)</f>
        <v>0</v>
      </c>
      <c r="J56" s="23">
        <f>SUM(J57:J59)</f>
        <v>1.3625E-3</v>
      </c>
      <c r="K56" s="23">
        <f>SUM(K57:K59)</f>
        <v>0</v>
      </c>
      <c r="L56" s="19"/>
      <c r="M56" s="24"/>
      <c r="P56" s="25"/>
    </row>
    <row r="57" spans="3:16" s="17" customFormat="1" ht="12.75" hidden="1">
      <c r="C57" s="18"/>
      <c r="D57" s="28" t="s">
        <v>116</v>
      </c>
      <c r="E57" s="29"/>
      <c r="F57" s="30" t="s">
        <v>115</v>
      </c>
      <c r="G57" s="31"/>
      <c r="H57" s="31"/>
      <c r="I57" s="31"/>
      <c r="J57" s="31"/>
      <c r="K57" s="31"/>
      <c r="L57" s="19"/>
      <c r="M57" s="24"/>
      <c r="P57" s="25"/>
    </row>
    <row r="58" spans="3:16" s="17" customFormat="1" ht="15" customHeight="1">
      <c r="C58" s="32" t="s">
        <v>30</v>
      </c>
      <c r="D58" s="33" t="s">
        <v>117</v>
      </c>
      <c r="E58" s="34" t="s">
        <v>32</v>
      </c>
      <c r="F58" s="35">
        <v>1061</v>
      </c>
      <c r="G58" s="36">
        <f>SUM(H58:K58)</f>
        <v>1.3625E-3</v>
      </c>
      <c r="H58" s="37"/>
      <c r="I58" s="37"/>
      <c r="J58" s="37">
        <f>J19/720</f>
        <v>1.3625E-3</v>
      </c>
      <c r="K58" s="38"/>
      <c r="L58" s="19"/>
      <c r="M58" s="39"/>
      <c r="N58" s="40"/>
      <c r="O58" s="40"/>
    </row>
    <row r="59" spans="3:16" s="17" customFormat="1" ht="15" customHeight="1">
      <c r="C59" s="18"/>
      <c r="D59" s="41"/>
      <c r="E59" s="42" t="s">
        <v>33</v>
      </c>
      <c r="F59" s="43"/>
      <c r="G59" s="43"/>
      <c r="H59" s="43"/>
      <c r="I59" s="43"/>
      <c r="J59" s="43"/>
      <c r="K59" s="44"/>
      <c r="L59" s="19"/>
      <c r="M59" s="24"/>
      <c r="P59" s="25"/>
    </row>
    <row r="60" spans="3:16" s="17" customFormat="1" ht="15" customHeight="1">
      <c r="C60" s="18"/>
      <c r="D60" s="20" t="s">
        <v>118</v>
      </c>
      <c r="E60" s="26" t="s">
        <v>35</v>
      </c>
      <c r="F60" s="22" t="s">
        <v>119</v>
      </c>
      <c r="G60" s="23">
        <f t="shared" si="0"/>
        <v>0</v>
      </c>
      <c r="H60" s="23">
        <f>SUM(H61:H62)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19"/>
      <c r="M60" s="24"/>
      <c r="P60" s="25"/>
    </row>
    <row r="61" spans="3:16" s="17" customFormat="1" ht="12.75" hidden="1" customHeight="1">
      <c r="C61" s="18"/>
      <c r="D61" s="28" t="s">
        <v>120</v>
      </c>
      <c r="E61" s="29"/>
      <c r="F61" s="30" t="s">
        <v>119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customHeight="1">
      <c r="C62" s="18"/>
      <c r="D62" s="41"/>
      <c r="E62" s="42" t="s">
        <v>33</v>
      </c>
      <c r="F62" s="43"/>
      <c r="G62" s="43"/>
      <c r="H62" s="43"/>
      <c r="I62" s="43"/>
      <c r="J62" s="43"/>
      <c r="K62" s="44"/>
      <c r="L62" s="19"/>
      <c r="M62" s="24"/>
      <c r="P62" s="25"/>
    </row>
    <row r="63" spans="3:16" s="17" customFormat="1" ht="15" customHeight="1">
      <c r="C63" s="18"/>
      <c r="D63" s="20" t="s">
        <v>121</v>
      </c>
      <c r="E63" s="26" t="s">
        <v>39</v>
      </c>
      <c r="F63" s="22" t="s">
        <v>122</v>
      </c>
      <c r="G63" s="23">
        <f t="shared" si="0"/>
        <v>6.693797222222222</v>
      </c>
      <c r="H63" s="23">
        <f>SUM(H64:H66)</f>
        <v>0</v>
      </c>
      <c r="I63" s="23">
        <f>SUM(I64:I66)</f>
        <v>6.693797222222222</v>
      </c>
      <c r="J63" s="23">
        <f>SUM(J64:J66)</f>
        <v>0</v>
      </c>
      <c r="K63" s="23">
        <f>SUM(K64:K66)</f>
        <v>0</v>
      </c>
      <c r="L63" s="19"/>
      <c r="M63" s="24"/>
      <c r="P63" s="25"/>
    </row>
    <row r="64" spans="3:16" s="17" customFormat="1" ht="12.75" hidden="1" customHeight="1">
      <c r="C64" s="18"/>
      <c r="D64" s="28" t="s">
        <v>123</v>
      </c>
      <c r="E64" s="29"/>
      <c r="F64" s="30" t="s">
        <v>122</v>
      </c>
      <c r="G64" s="31"/>
      <c r="H64" s="31"/>
      <c r="I64" s="31"/>
      <c r="J64" s="31"/>
      <c r="K64" s="31"/>
      <c r="L64" s="19"/>
      <c r="M64" s="24"/>
      <c r="P64" s="25"/>
    </row>
    <row r="65" spans="3:16" s="17" customFormat="1" ht="15" customHeight="1">
      <c r="C65" s="32" t="s">
        <v>30</v>
      </c>
      <c r="D65" s="33" t="s">
        <v>124</v>
      </c>
      <c r="E65" s="34" t="s">
        <v>43</v>
      </c>
      <c r="F65" s="35">
        <v>1461</v>
      </c>
      <c r="G65" s="36">
        <f>SUM(H65:K65)</f>
        <v>6.693797222222222</v>
      </c>
      <c r="H65" s="37"/>
      <c r="I65" s="37">
        <f>I26/720</f>
        <v>6.693797222222222</v>
      </c>
      <c r="J65" s="37"/>
      <c r="K65" s="38"/>
      <c r="L65" s="19"/>
      <c r="M65" s="39"/>
      <c r="N65" s="40"/>
      <c r="O65" s="40"/>
    </row>
    <row r="66" spans="3:16" s="17" customFormat="1" ht="15" customHeight="1">
      <c r="C66" s="18"/>
      <c r="D66" s="41"/>
      <c r="E66" s="42" t="s">
        <v>33</v>
      </c>
      <c r="F66" s="43"/>
      <c r="G66" s="43"/>
      <c r="H66" s="43"/>
      <c r="I66" s="43"/>
      <c r="J66" s="43"/>
      <c r="K66" s="44"/>
      <c r="L66" s="19"/>
      <c r="M66" s="24"/>
      <c r="P66" s="25"/>
    </row>
    <row r="67" spans="3:16" s="17" customFormat="1" ht="15" customHeight="1">
      <c r="C67" s="18"/>
      <c r="D67" s="20" t="s">
        <v>125</v>
      </c>
      <c r="E67" s="21" t="s">
        <v>45</v>
      </c>
      <c r="F67" s="22" t="s">
        <v>126</v>
      </c>
      <c r="G67" s="23">
        <f t="shared" si="0"/>
        <v>2.7348583333333334</v>
      </c>
      <c r="H67" s="23">
        <f>H69+H70+H71</f>
        <v>0</v>
      </c>
      <c r="I67" s="23">
        <f>I68+I70+I71</f>
        <v>0</v>
      </c>
      <c r="J67" s="23">
        <f>J68+J69+J71</f>
        <v>1.6213958333333334</v>
      </c>
      <c r="K67" s="23">
        <f>K68+K69+K70</f>
        <v>1.1134625</v>
      </c>
      <c r="L67" s="19"/>
      <c r="M67" s="24"/>
      <c r="P67" s="25"/>
    </row>
    <row r="68" spans="3:16" s="17" customFormat="1" ht="15" customHeight="1">
      <c r="C68" s="18"/>
      <c r="D68" s="20" t="s">
        <v>127</v>
      </c>
      <c r="E68" s="26" t="s">
        <v>17</v>
      </c>
      <c r="F68" s="22" t="s">
        <v>128</v>
      </c>
      <c r="G68" s="23">
        <f t="shared" si="0"/>
        <v>0</v>
      </c>
      <c r="H68" s="46"/>
      <c r="I68" s="27"/>
      <c r="J68" s="27"/>
      <c r="K68" s="27"/>
      <c r="L68" s="19"/>
      <c r="M68" s="24"/>
      <c r="P68" s="25"/>
    </row>
    <row r="69" spans="3:16" s="17" customFormat="1" ht="15" customHeight="1">
      <c r="C69" s="18"/>
      <c r="D69" s="20" t="s">
        <v>129</v>
      </c>
      <c r="E69" s="26" t="s">
        <v>18</v>
      </c>
      <c r="F69" s="22" t="s">
        <v>130</v>
      </c>
      <c r="G69" s="23">
        <f t="shared" si="0"/>
        <v>1.6213958333333334</v>
      </c>
      <c r="H69" s="27"/>
      <c r="I69" s="53"/>
      <c r="J69" s="27">
        <f>J30/720</f>
        <v>1.6213958333333334</v>
      </c>
      <c r="K69" s="27"/>
      <c r="L69" s="19"/>
      <c r="M69" s="24"/>
      <c r="P69" s="25"/>
    </row>
    <row r="70" spans="3:16" s="17" customFormat="1" ht="15" customHeight="1">
      <c r="C70" s="18"/>
      <c r="D70" s="20" t="s">
        <v>131</v>
      </c>
      <c r="E70" s="26" t="s">
        <v>19</v>
      </c>
      <c r="F70" s="22" t="s">
        <v>132</v>
      </c>
      <c r="G70" s="23">
        <f t="shared" si="0"/>
        <v>1.1134625</v>
      </c>
      <c r="H70" s="27"/>
      <c r="I70" s="27"/>
      <c r="J70" s="46"/>
      <c r="K70" s="27">
        <f>K31/720</f>
        <v>1.1134625</v>
      </c>
      <c r="L70" s="19"/>
      <c r="M70" s="24"/>
      <c r="P70" s="25"/>
    </row>
    <row r="71" spans="3:16" s="17" customFormat="1" ht="15" customHeight="1">
      <c r="C71" s="18"/>
      <c r="D71" s="20" t="s">
        <v>133</v>
      </c>
      <c r="E71" s="26" t="s">
        <v>54</v>
      </c>
      <c r="F71" s="22" t="s">
        <v>134</v>
      </c>
      <c r="G71" s="23">
        <f t="shared" si="0"/>
        <v>0</v>
      </c>
      <c r="H71" s="27"/>
      <c r="I71" s="27"/>
      <c r="J71" s="27"/>
      <c r="K71" s="46"/>
      <c r="L71" s="19"/>
      <c r="M71" s="24"/>
      <c r="P71" s="25"/>
    </row>
    <row r="72" spans="3:16" s="17" customFormat="1" ht="15" customHeight="1">
      <c r="C72" s="18"/>
      <c r="D72" s="20" t="s">
        <v>135</v>
      </c>
      <c r="E72" s="47" t="s">
        <v>57</v>
      </c>
      <c r="F72" s="22" t="s">
        <v>136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137</v>
      </c>
      <c r="E73" s="21" t="s">
        <v>60</v>
      </c>
      <c r="F73" s="48" t="s">
        <v>138</v>
      </c>
      <c r="G73" s="23">
        <f t="shared" si="0"/>
        <v>6.5531069444444441</v>
      </c>
      <c r="H73" s="23">
        <f>H74+H76+H79+H83</f>
        <v>0</v>
      </c>
      <c r="I73" s="23">
        <f>I74+I76+I79+I83</f>
        <v>5.0059749999999994</v>
      </c>
      <c r="J73" s="23">
        <f>J74+J76+J79+J83</f>
        <v>0.47170972222222218</v>
      </c>
      <c r="K73" s="23">
        <f>K74+K76+K79+K83</f>
        <v>1.0754222222222223</v>
      </c>
      <c r="L73" s="19"/>
      <c r="M73" s="24"/>
      <c r="P73" s="25"/>
    </row>
    <row r="74" spans="3:16" s="17" customFormat="1" ht="22.5">
      <c r="C74" s="18"/>
      <c r="D74" s="20" t="s">
        <v>139</v>
      </c>
      <c r="E74" s="26" t="s">
        <v>63</v>
      </c>
      <c r="F74" s="22" t="s">
        <v>140</v>
      </c>
      <c r="G74" s="23">
        <f t="shared" si="0"/>
        <v>0</v>
      </c>
      <c r="H74" s="27"/>
      <c r="I74" s="27"/>
      <c r="J74" s="27"/>
      <c r="K74" s="27"/>
      <c r="L74" s="19"/>
      <c r="M74" s="24"/>
      <c r="P74" s="25"/>
    </row>
    <row r="75" spans="3:16" s="17" customFormat="1" ht="15" customHeight="1">
      <c r="C75" s="18"/>
      <c r="D75" s="20" t="s">
        <v>141</v>
      </c>
      <c r="E75" s="49" t="s">
        <v>66</v>
      </c>
      <c r="F75" s="22" t="s">
        <v>142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143</v>
      </c>
      <c r="E76" s="26" t="s">
        <v>69</v>
      </c>
      <c r="F76" s="22" t="s">
        <v>144</v>
      </c>
      <c r="G76" s="23">
        <f t="shared" si="0"/>
        <v>2.6307430555555555</v>
      </c>
      <c r="H76" s="27"/>
      <c r="I76" s="27">
        <f>I37/720</f>
        <v>1.0836111111111111</v>
      </c>
      <c r="J76" s="27">
        <f>J37/720</f>
        <v>0.47170972222222218</v>
      </c>
      <c r="K76" s="27">
        <f>K37/720</f>
        <v>1.0754222222222223</v>
      </c>
      <c r="L76" s="19"/>
      <c r="M76" s="24"/>
      <c r="P76" s="25"/>
    </row>
    <row r="77" spans="3:16" s="17" customFormat="1" ht="15" customHeight="1">
      <c r="C77" s="18"/>
      <c r="D77" s="20" t="s">
        <v>145</v>
      </c>
      <c r="E77" s="49" t="s">
        <v>72</v>
      </c>
      <c r="F77" s="22" t="s">
        <v>146</v>
      </c>
      <c r="G77" s="23">
        <f t="shared" si="0"/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>
      <c r="C78" s="18"/>
      <c r="D78" s="20" t="s">
        <v>147</v>
      </c>
      <c r="E78" s="50" t="s">
        <v>66</v>
      </c>
      <c r="F78" s="22" t="s">
        <v>148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>
      <c r="C79" s="18"/>
      <c r="D79" s="20" t="s">
        <v>149</v>
      </c>
      <c r="E79" s="26" t="s">
        <v>77</v>
      </c>
      <c r="F79" s="22" t="s">
        <v>150</v>
      </c>
      <c r="G79" s="23">
        <f t="shared" si="0"/>
        <v>3.9223638888888885</v>
      </c>
      <c r="H79" s="23">
        <f>SUM(H80:H82)</f>
        <v>0</v>
      </c>
      <c r="I79" s="23">
        <f>SUM(I80:I82)</f>
        <v>3.9223638888888885</v>
      </c>
      <c r="J79" s="23">
        <f>SUM(J80:J82)</f>
        <v>0</v>
      </c>
      <c r="K79" s="23">
        <f>SUM(K80:K82)</f>
        <v>0</v>
      </c>
      <c r="L79" s="19"/>
      <c r="M79" s="24"/>
      <c r="P79" s="25"/>
    </row>
    <row r="80" spans="3:16" s="17" customFormat="1" ht="12.75" hidden="1" customHeight="1">
      <c r="C80" s="18"/>
      <c r="D80" s="28" t="s">
        <v>151</v>
      </c>
      <c r="E80" s="29"/>
      <c r="F80" s="30" t="s">
        <v>150</v>
      </c>
      <c r="G80" s="31"/>
      <c r="H80" s="31"/>
      <c r="I80" s="31"/>
      <c r="J80" s="31"/>
      <c r="K80" s="31"/>
      <c r="L80" s="19"/>
      <c r="M80" s="24"/>
      <c r="P80" s="25"/>
    </row>
    <row r="81" spans="3:16" s="17" customFormat="1" ht="15" customHeight="1">
      <c r="C81" s="32" t="s">
        <v>30</v>
      </c>
      <c r="D81" s="33" t="s">
        <v>152</v>
      </c>
      <c r="E81" s="34" t="s">
        <v>81</v>
      </c>
      <c r="F81" s="35">
        <v>1781</v>
      </c>
      <c r="G81" s="36">
        <f>SUM(H81:K81)</f>
        <v>3.9223638888888885</v>
      </c>
      <c r="H81" s="37"/>
      <c r="I81" s="37">
        <f>I42/720</f>
        <v>3.9223638888888885</v>
      </c>
      <c r="J81" s="37"/>
      <c r="K81" s="38"/>
      <c r="L81" s="19"/>
      <c r="M81" s="39"/>
      <c r="N81" s="40"/>
      <c r="O81" s="40"/>
    </row>
    <row r="82" spans="3:16" s="17" customFormat="1" ht="15" customHeight="1">
      <c r="C82" s="18"/>
      <c r="D82" s="41"/>
      <c r="E82" s="42" t="s">
        <v>33</v>
      </c>
      <c r="F82" s="43"/>
      <c r="G82" s="43"/>
      <c r="H82" s="43"/>
      <c r="I82" s="43"/>
      <c r="J82" s="43"/>
      <c r="K82" s="44"/>
      <c r="L82" s="19"/>
      <c r="M82" s="24"/>
      <c r="P82" s="25"/>
    </row>
    <row r="83" spans="3:16" s="17" customFormat="1" ht="15" customHeight="1">
      <c r="C83" s="18"/>
      <c r="D83" s="20" t="s">
        <v>153</v>
      </c>
      <c r="E83" s="52" t="s">
        <v>83</v>
      </c>
      <c r="F83" s="22" t="s">
        <v>154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>
      <c r="C84" s="18"/>
      <c r="D84" s="20" t="s">
        <v>155</v>
      </c>
      <c r="E84" s="21" t="s">
        <v>86</v>
      </c>
      <c r="F84" s="22" t="s">
        <v>156</v>
      </c>
      <c r="G84" s="23">
        <f t="shared" si="0"/>
        <v>2.7348583333333334</v>
      </c>
      <c r="H84" s="27"/>
      <c r="I84" s="27">
        <f>I45/720</f>
        <v>1.6213958333333334</v>
      </c>
      <c r="J84" s="27">
        <f>J45/720</f>
        <v>1.1134625</v>
      </c>
      <c r="K84" s="27"/>
      <c r="L84" s="19"/>
      <c r="M84" s="24"/>
      <c r="P84" s="25"/>
    </row>
    <row r="85" spans="3:16" s="17" customFormat="1" ht="15" customHeight="1">
      <c r="C85" s="18"/>
      <c r="D85" s="20" t="s">
        <v>157</v>
      </c>
      <c r="E85" s="21" t="s">
        <v>89</v>
      </c>
      <c r="F85" s="22" t="s">
        <v>158</v>
      </c>
      <c r="G85" s="23">
        <f t="shared" si="0"/>
        <v>0</v>
      </c>
      <c r="H85" s="27"/>
      <c r="I85" s="27"/>
      <c r="J85" s="27"/>
      <c r="K85" s="27"/>
      <c r="L85" s="19"/>
      <c r="M85" s="24"/>
      <c r="P85" s="25"/>
    </row>
    <row r="86" spans="3:16" s="17" customFormat="1" ht="15" customHeight="1">
      <c r="C86" s="18"/>
      <c r="D86" s="20" t="s">
        <v>159</v>
      </c>
      <c r="E86" s="21" t="s">
        <v>92</v>
      </c>
      <c r="F86" s="22" t="s">
        <v>160</v>
      </c>
      <c r="G86" s="23">
        <f t="shared" si="0"/>
        <v>0</v>
      </c>
      <c r="H86" s="27"/>
      <c r="I86" s="27"/>
      <c r="J86" s="27"/>
      <c r="K86" s="27"/>
      <c r="L86" s="19"/>
      <c r="M86" s="24"/>
      <c r="P86" s="25"/>
    </row>
    <row r="87" spans="3:16" s="17" customFormat="1" ht="15" customHeight="1">
      <c r="C87" s="18"/>
      <c r="D87" s="20" t="s">
        <v>161</v>
      </c>
      <c r="E87" s="21" t="s">
        <v>95</v>
      </c>
      <c r="F87" s="22" t="s">
        <v>162</v>
      </c>
      <c r="G87" s="23">
        <f t="shared" si="0"/>
        <v>0.14205277777777778</v>
      </c>
      <c r="H87" s="27"/>
      <c r="I87" s="27">
        <f>I48/720</f>
        <v>6.6426388888888882E-2</v>
      </c>
      <c r="J87" s="27">
        <f>J48/720</f>
        <v>3.7586111111111112E-2</v>
      </c>
      <c r="K87" s="27">
        <f>K48/720</f>
        <v>3.8040277777777777E-2</v>
      </c>
      <c r="L87" s="19"/>
      <c r="M87" s="24"/>
      <c r="P87" s="25"/>
    </row>
    <row r="88" spans="3:16" s="17" customFormat="1" ht="15" customHeight="1">
      <c r="C88" s="18"/>
      <c r="D88" s="20" t="s">
        <v>163</v>
      </c>
      <c r="E88" s="26" t="s">
        <v>164</v>
      </c>
      <c r="F88" s="22" t="s">
        <v>165</v>
      </c>
      <c r="G88" s="23">
        <f t="shared" si="0"/>
        <v>0</v>
      </c>
      <c r="H88" s="27"/>
      <c r="I88" s="27"/>
      <c r="J88" s="27"/>
      <c r="K88" s="27"/>
      <c r="L88" s="19"/>
      <c r="M88" s="24"/>
      <c r="P88" s="25"/>
    </row>
    <row r="89" spans="3:16" s="17" customFormat="1" ht="15" customHeight="1">
      <c r="C89" s="18"/>
      <c r="D89" s="20" t="s">
        <v>166</v>
      </c>
      <c r="E89" s="21" t="s">
        <v>101</v>
      </c>
      <c r="F89" s="22" t="s">
        <v>167</v>
      </c>
      <c r="G89" s="23">
        <f t="shared" si="0"/>
        <v>0.34722222222222221</v>
      </c>
      <c r="H89" s="27"/>
      <c r="I89" s="27">
        <f>I50/720</f>
        <v>5.8809217433061507E-2</v>
      </c>
      <c r="J89" s="27">
        <f>J50/720</f>
        <v>0.13592094216021641</v>
      </c>
      <c r="K89" s="27">
        <f>K50/720</f>
        <v>0.1524920626289443</v>
      </c>
      <c r="L89" s="19"/>
      <c r="M89" s="24"/>
      <c r="P89" s="25"/>
    </row>
    <row r="90" spans="3:16" s="17" customFormat="1" ht="33.75">
      <c r="C90" s="18"/>
      <c r="D90" s="20" t="s">
        <v>168</v>
      </c>
      <c r="E90" s="47" t="s">
        <v>104</v>
      </c>
      <c r="F90" s="22" t="s">
        <v>169</v>
      </c>
      <c r="G90" s="23">
        <f t="shared" si="0"/>
        <v>-0.20516944444444446</v>
      </c>
      <c r="H90" s="23">
        <f>H87-H89</f>
        <v>0</v>
      </c>
      <c r="I90" s="23">
        <f>I87-I89</f>
        <v>7.6171714558273748E-3</v>
      </c>
      <c r="J90" s="23">
        <f>J87-J89</f>
        <v>-9.8334831049105301E-2</v>
      </c>
      <c r="K90" s="23">
        <f>K87-K89</f>
        <v>-0.11445178485116653</v>
      </c>
      <c r="L90" s="19"/>
      <c r="M90" s="24"/>
      <c r="P90" s="25"/>
    </row>
    <row r="91" spans="3:16" s="17" customFormat="1" ht="15" customHeight="1">
      <c r="C91" s="18"/>
      <c r="D91" s="20" t="s">
        <v>170</v>
      </c>
      <c r="E91" s="21" t="s">
        <v>107</v>
      </c>
      <c r="F91" s="22" t="s">
        <v>171</v>
      </c>
      <c r="G91" s="23">
        <f t="shared" si="0"/>
        <v>0</v>
      </c>
      <c r="H91" s="23">
        <f>(H54+H67+H72)-(H73+H84+H85+H86+H87)</f>
        <v>0</v>
      </c>
      <c r="I91" s="23">
        <f>(I54+I67+I72)-(I73+I84+I85+I86+I87)</f>
        <v>0</v>
      </c>
      <c r="J91" s="23">
        <f>(J54+J67+J72)-(J73+J84+J85+J86+J87)</f>
        <v>0</v>
      </c>
      <c r="K91" s="23">
        <f>(K54+K67+K72)-(K73+K84+K85+K86+K87)</f>
        <v>0</v>
      </c>
      <c r="L91" s="19"/>
      <c r="M91" s="24"/>
      <c r="P91" s="25"/>
    </row>
    <row r="92" spans="3:16" s="17" customFormat="1" ht="15" customHeight="1">
      <c r="C92" s="18"/>
      <c r="D92" s="83" t="s">
        <v>172</v>
      </c>
      <c r="E92" s="84"/>
      <c r="F92" s="84"/>
      <c r="G92" s="84"/>
      <c r="H92" s="84"/>
      <c r="I92" s="84"/>
      <c r="J92" s="84"/>
      <c r="K92" s="85"/>
      <c r="L92" s="19"/>
      <c r="M92" s="24"/>
      <c r="P92" s="45"/>
    </row>
    <row r="93" spans="3:16" s="17" customFormat="1" ht="15" customHeight="1">
      <c r="C93" s="18"/>
      <c r="D93" s="20" t="s">
        <v>173</v>
      </c>
      <c r="E93" s="21" t="s">
        <v>174</v>
      </c>
      <c r="F93" s="22" t="s">
        <v>175</v>
      </c>
      <c r="G93" s="23">
        <f t="shared" si="0"/>
        <v>0</v>
      </c>
      <c r="H93" s="27"/>
      <c r="I93" s="27"/>
      <c r="J93" s="27"/>
      <c r="K93" s="27"/>
      <c r="L93" s="19"/>
      <c r="M93" s="24"/>
      <c r="P93" s="25"/>
    </row>
    <row r="94" spans="3:16" s="17" customFormat="1" ht="15" customHeight="1">
      <c r="C94" s="18"/>
      <c r="D94" s="20" t="s">
        <v>176</v>
      </c>
      <c r="E94" s="21" t="s">
        <v>177</v>
      </c>
      <c r="F94" s="22" t="s">
        <v>178</v>
      </c>
      <c r="G94" s="23">
        <f t="shared" si="0"/>
        <v>10.55</v>
      </c>
      <c r="H94" s="27"/>
      <c r="I94" s="27">
        <v>10.55</v>
      </c>
      <c r="J94" s="27"/>
      <c r="K94" s="27"/>
      <c r="L94" s="19"/>
      <c r="M94" s="24"/>
      <c r="P94" s="25"/>
    </row>
    <row r="95" spans="3:16" s="17" customFormat="1" ht="15" customHeight="1">
      <c r="C95" s="18"/>
      <c r="D95" s="20" t="s">
        <v>179</v>
      </c>
      <c r="E95" s="21" t="s">
        <v>180</v>
      </c>
      <c r="F95" s="22" t="s">
        <v>181</v>
      </c>
      <c r="G95" s="23">
        <f t="shared" si="0"/>
        <v>0</v>
      </c>
      <c r="H95" s="27"/>
      <c r="I95" s="27"/>
      <c r="J95" s="27"/>
      <c r="K95" s="27"/>
      <c r="L95" s="19"/>
      <c r="M95" s="24"/>
      <c r="P95" s="25"/>
    </row>
    <row r="96" spans="3:16" s="17" customFormat="1" ht="15" customHeight="1">
      <c r="C96" s="18"/>
      <c r="D96" s="83" t="s">
        <v>182</v>
      </c>
      <c r="E96" s="84"/>
      <c r="F96" s="84"/>
      <c r="G96" s="84"/>
      <c r="H96" s="84"/>
      <c r="I96" s="84"/>
      <c r="J96" s="84"/>
      <c r="K96" s="85"/>
      <c r="L96" s="19"/>
      <c r="M96" s="24"/>
      <c r="P96" s="45"/>
    </row>
    <row r="97" spans="3:16" s="17" customFormat="1" ht="15" customHeight="1">
      <c r="C97" s="18"/>
      <c r="D97" s="20" t="s">
        <v>183</v>
      </c>
      <c r="E97" s="21" t="s">
        <v>184</v>
      </c>
      <c r="F97" s="22" t="s">
        <v>185</v>
      </c>
      <c r="G97" s="23">
        <f t="shared" si="0"/>
        <v>0</v>
      </c>
      <c r="H97" s="23">
        <f>SUM(H98:H99)</f>
        <v>0</v>
      </c>
      <c r="I97" s="23">
        <f>SUM(I98:I99)</f>
        <v>0</v>
      </c>
      <c r="J97" s="23">
        <f>SUM(J98:J99)</f>
        <v>0</v>
      </c>
      <c r="K97" s="23">
        <f>SUM(K98:K99)</f>
        <v>0</v>
      </c>
      <c r="L97" s="19"/>
      <c r="M97" s="24"/>
      <c r="P97" s="25"/>
    </row>
    <row r="98" spans="3:16" ht="15" customHeight="1">
      <c r="C98" s="6"/>
      <c r="D98" s="54" t="s">
        <v>186</v>
      </c>
      <c r="E98" s="26" t="s">
        <v>187</v>
      </c>
      <c r="F98" s="22" t="s">
        <v>188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/>
    </row>
    <row r="99" spans="3:16" ht="15" customHeight="1">
      <c r="C99" s="6"/>
      <c r="D99" s="54" t="s">
        <v>189</v>
      </c>
      <c r="E99" s="26" t="s">
        <v>190</v>
      </c>
      <c r="F99" s="22" t="s">
        <v>191</v>
      </c>
      <c r="G99" s="23">
        <f t="shared" si="0"/>
        <v>0</v>
      </c>
      <c r="H99" s="56">
        <f>H102</f>
        <v>0</v>
      </c>
      <c r="I99" s="56">
        <f>I102</f>
        <v>0</v>
      </c>
      <c r="J99" s="56">
        <f>J102</f>
        <v>0</v>
      </c>
      <c r="K99" s="56">
        <f>K102</f>
        <v>0</v>
      </c>
      <c r="L99" s="13"/>
      <c r="M99" s="24"/>
      <c r="P99" s="25"/>
    </row>
    <row r="100" spans="3:16" ht="15" customHeight="1">
      <c r="C100" s="6"/>
      <c r="D100" s="54" t="s">
        <v>192</v>
      </c>
      <c r="E100" s="49" t="s">
        <v>193</v>
      </c>
      <c r="F100" s="22" t="s">
        <v>194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/>
    </row>
    <row r="101" spans="3:16" ht="15" customHeight="1">
      <c r="C101" s="6"/>
      <c r="D101" s="54" t="s">
        <v>195</v>
      </c>
      <c r="E101" s="50" t="s">
        <v>196</v>
      </c>
      <c r="F101" s="22" t="s">
        <v>197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5" customHeight="1">
      <c r="C102" s="6"/>
      <c r="D102" s="54" t="s">
        <v>198</v>
      </c>
      <c r="E102" s="49" t="s">
        <v>199</v>
      </c>
      <c r="F102" s="22" t="s">
        <v>200</v>
      </c>
      <c r="G102" s="23">
        <f t="shared" si="0"/>
        <v>0</v>
      </c>
      <c r="H102" s="55"/>
      <c r="I102" s="55"/>
      <c r="J102" s="55"/>
      <c r="K102" s="55"/>
      <c r="L102" s="13"/>
      <c r="M102" s="24"/>
      <c r="P102" s="25"/>
    </row>
    <row r="103" spans="3:16" ht="15" customHeight="1">
      <c r="C103" s="6"/>
      <c r="D103" s="54" t="s">
        <v>201</v>
      </c>
      <c r="E103" s="21" t="s">
        <v>202</v>
      </c>
      <c r="F103" s="22" t="s">
        <v>203</v>
      </c>
      <c r="G103" s="23">
        <f t="shared" si="0"/>
        <v>0</v>
      </c>
      <c r="H103" s="56">
        <f>H104+H120</f>
        <v>0</v>
      </c>
      <c r="I103" s="56">
        <f>I104+I120</f>
        <v>0</v>
      </c>
      <c r="J103" s="56">
        <f>J104+J120</f>
        <v>0</v>
      </c>
      <c r="K103" s="56">
        <f>K104+K120</f>
        <v>0</v>
      </c>
      <c r="L103" s="13"/>
      <c r="M103" s="24"/>
      <c r="P103" s="25"/>
    </row>
    <row r="104" spans="3:16" ht="15" customHeight="1">
      <c r="C104" s="6"/>
      <c r="D104" s="54" t="s">
        <v>204</v>
      </c>
      <c r="E104" s="26" t="s">
        <v>205</v>
      </c>
      <c r="F104" s="22" t="s">
        <v>206</v>
      </c>
      <c r="G104" s="23">
        <f t="shared" si="0"/>
        <v>0</v>
      </c>
      <c r="H104" s="56">
        <f>H105+H106</f>
        <v>0</v>
      </c>
      <c r="I104" s="56">
        <f>I105+I106</f>
        <v>0</v>
      </c>
      <c r="J104" s="56">
        <f>J105+J106</f>
        <v>0</v>
      </c>
      <c r="K104" s="56">
        <f>K105+K106</f>
        <v>0</v>
      </c>
      <c r="L104" s="13"/>
      <c r="M104" s="24"/>
      <c r="P104" s="25"/>
    </row>
    <row r="105" spans="3:16" ht="15" customHeight="1">
      <c r="C105" s="6"/>
      <c r="D105" s="54" t="s">
        <v>207</v>
      </c>
      <c r="E105" s="49" t="s">
        <v>208</v>
      </c>
      <c r="F105" s="22" t="s">
        <v>209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15" customHeight="1">
      <c r="C106" s="6"/>
      <c r="D106" s="54" t="s">
        <v>210</v>
      </c>
      <c r="E106" s="49" t="s">
        <v>211</v>
      </c>
      <c r="F106" s="22" t="s">
        <v>212</v>
      </c>
      <c r="G106" s="23">
        <f t="shared" si="0"/>
        <v>0</v>
      </c>
      <c r="H106" s="56">
        <f>H107+H110+H113+H116+H117+H118+H119</f>
        <v>0</v>
      </c>
      <c r="I106" s="56">
        <f>I107+I110+I113+I116+I117+I118+I119</f>
        <v>0</v>
      </c>
      <c r="J106" s="56">
        <f>J107+J110+J113+J116+J117+J118+J119</f>
        <v>0</v>
      </c>
      <c r="K106" s="56">
        <f>K107+K110+K113+K116+K117+K118+K119</f>
        <v>0</v>
      </c>
      <c r="L106" s="13"/>
      <c r="M106" s="24"/>
      <c r="P106" s="25"/>
    </row>
    <row r="107" spans="3:16" ht="45">
      <c r="C107" s="6"/>
      <c r="D107" s="54" t="s">
        <v>213</v>
      </c>
      <c r="E107" s="50" t="s">
        <v>214</v>
      </c>
      <c r="F107" s="22" t="s">
        <v>215</v>
      </c>
      <c r="G107" s="23">
        <f t="shared" si="0"/>
        <v>0</v>
      </c>
      <c r="H107" s="57">
        <f>H108+H109</f>
        <v>0</v>
      </c>
      <c r="I107" s="57">
        <f>I108+I109</f>
        <v>0</v>
      </c>
      <c r="J107" s="57">
        <f>J108+J109</f>
        <v>0</v>
      </c>
      <c r="K107" s="57">
        <f>K108+K109</f>
        <v>0</v>
      </c>
      <c r="L107" s="13"/>
      <c r="M107" s="24"/>
      <c r="P107" s="25"/>
    </row>
    <row r="108" spans="3:16" ht="15" customHeight="1">
      <c r="C108" s="6"/>
      <c r="D108" s="54" t="s">
        <v>216</v>
      </c>
      <c r="E108" s="58" t="s">
        <v>217</v>
      </c>
      <c r="F108" s="22" t="s">
        <v>218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15" customHeight="1">
      <c r="C109" s="6"/>
      <c r="D109" s="54" t="s">
        <v>219</v>
      </c>
      <c r="E109" s="58" t="s">
        <v>220</v>
      </c>
      <c r="F109" s="22" t="s">
        <v>221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45">
      <c r="C110" s="6"/>
      <c r="D110" s="54" t="s">
        <v>222</v>
      </c>
      <c r="E110" s="50" t="s">
        <v>223</v>
      </c>
      <c r="F110" s="22" t="s">
        <v>224</v>
      </c>
      <c r="G110" s="23">
        <f t="shared" si="0"/>
        <v>0</v>
      </c>
      <c r="H110" s="57">
        <f>H111+H112</f>
        <v>0</v>
      </c>
      <c r="I110" s="57">
        <f>I111+I112</f>
        <v>0</v>
      </c>
      <c r="J110" s="57">
        <f>J111+J112</f>
        <v>0</v>
      </c>
      <c r="K110" s="57">
        <f>K111+K112</f>
        <v>0</v>
      </c>
      <c r="L110" s="13"/>
      <c r="M110" s="24"/>
      <c r="P110" s="25"/>
    </row>
    <row r="111" spans="3:16" ht="15" customHeight="1">
      <c r="C111" s="6"/>
      <c r="D111" s="54" t="s">
        <v>225</v>
      </c>
      <c r="E111" s="58" t="s">
        <v>217</v>
      </c>
      <c r="F111" s="22" t="s">
        <v>226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>
      <c r="C112" s="6"/>
      <c r="D112" s="54" t="s">
        <v>227</v>
      </c>
      <c r="E112" s="58" t="s">
        <v>220</v>
      </c>
      <c r="F112" s="22" t="s">
        <v>228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229</v>
      </c>
      <c r="E113" s="50" t="s">
        <v>230</v>
      </c>
      <c r="F113" s="22" t="s">
        <v>231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>
      <c r="C114" s="6"/>
      <c r="D114" s="54" t="s">
        <v>232</v>
      </c>
      <c r="E114" s="58" t="s">
        <v>217</v>
      </c>
      <c r="F114" s="22" t="s">
        <v>233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234</v>
      </c>
      <c r="E115" s="58" t="s">
        <v>220</v>
      </c>
      <c r="F115" s="22" t="s">
        <v>235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5" customHeight="1">
      <c r="C116" s="6"/>
      <c r="D116" s="54" t="s">
        <v>236</v>
      </c>
      <c r="E116" s="50" t="s">
        <v>237</v>
      </c>
      <c r="F116" s="22" t="s">
        <v>238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5" customHeight="1">
      <c r="C117" s="6"/>
      <c r="D117" s="54" t="s">
        <v>239</v>
      </c>
      <c r="E117" s="50" t="s">
        <v>240</v>
      </c>
      <c r="F117" s="22" t="s">
        <v>241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9.5" customHeight="1">
      <c r="C118" s="6"/>
      <c r="D118" s="54" t="s">
        <v>242</v>
      </c>
      <c r="E118" s="50" t="s">
        <v>243</v>
      </c>
      <c r="F118" s="22" t="s">
        <v>244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3.5" customHeight="1">
      <c r="C119" s="6"/>
      <c r="D119" s="54" t="s">
        <v>245</v>
      </c>
      <c r="E119" s="50" t="s">
        <v>246</v>
      </c>
      <c r="F119" s="22" t="s">
        <v>247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248</v>
      </c>
      <c r="E120" s="26" t="s">
        <v>249</v>
      </c>
      <c r="F120" s="22" t="s">
        <v>250</v>
      </c>
      <c r="G120" s="23">
        <f t="shared" si="0"/>
        <v>0</v>
      </c>
      <c r="H120" s="56">
        <f>H123</f>
        <v>0</v>
      </c>
      <c r="I120" s="56">
        <f>I123</f>
        <v>0</v>
      </c>
      <c r="J120" s="56">
        <f>J123</f>
        <v>0</v>
      </c>
      <c r="K120" s="56">
        <f>K123</f>
        <v>0</v>
      </c>
      <c r="L120" s="13"/>
      <c r="M120" s="24"/>
      <c r="P120" s="25"/>
    </row>
    <row r="121" spans="3:16" ht="15" customHeight="1">
      <c r="C121" s="6"/>
      <c r="D121" s="54" t="s">
        <v>251</v>
      </c>
      <c r="E121" s="49" t="s">
        <v>193</v>
      </c>
      <c r="F121" s="22" t="s">
        <v>252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5" customHeight="1">
      <c r="C122" s="6"/>
      <c r="D122" s="54" t="s">
        <v>253</v>
      </c>
      <c r="E122" s="50" t="s">
        <v>254</v>
      </c>
      <c r="F122" s="22" t="s">
        <v>255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>
      <c r="C123" s="6"/>
      <c r="D123" s="54" t="s">
        <v>256</v>
      </c>
      <c r="E123" s="49" t="s">
        <v>199</v>
      </c>
      <c r="F123" s="22" t="s">
        <v>257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27" customHeight="1">
      <c r="C124" s="6"/>
      <c r="D124" s="54" t="s">
        <v>258</v>
      </c>
      <c r="E124" s="47" t="s">
        <v>259</v>
      </c>
      <c r="F124" s="22" t="s">
        <v>260</v>
      </c>
      <c r="G124" s="23">
        <f t="shared" si="0"/>
        <v>4718.2369999999992</v>
      </c>
      <c r="H124" s="56">
        <f>SUM(H125:H126)</f>
        <v>0</v>
      </c>
      <c r="I124" s="56">
        <f>SUM(I125:I126)</f>
        <v>3604.3019999999997</v>
      </c>
      <c r="J124" s="56">
        <f>SUM(J125:J126)</f>
        <v>339.63099999999997</v>
      </c>
      <c r="K124" s="56">
        <f>SUM(K125:K126)</f>
        <v>774.30399999999997</v>
      </c>
      <c r="L124" s="13"/>
      <c r="M124" s="24"/>
      <c r="P124" s="25"/>
    </row>
    <row r="125" spans="3:16" ht="15" customHeight="1">
      <c r="C125" s="6"/>
      <c r="D125" s="54" t="s">
        <v>261</v>
      </c>
      <c r="E125" s="26" t="s">
        <v>187</v>
      </c>
      <c r="F125" s="22" t="s">
        <v>262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>
      <c r="C126" s="6"/>
      <c r="D126" s="54" t="s">
        <v>263</v>
      </c>
      <c r="E126" s="26" t="s">
        <v>190</v>
      </c>
      <c r="F126" s="22" t="s">
        <v>264</v>
      </c>
      <c r="G126" s="23">
        <f t="shared" si="0"/>
        <v>4718.2369999999992</v>
      </c>
      <c r="H126" s="56">
        <f>H128</f>
        <v>0</v>
      </c>
      <c r="I126" s="56">
        <f>I128</f>
        <v>3604.3019999999997</v>
      </c>
      <c r="J126" s="56">
        <f>J128</f>
        <v>339.63099999999997</v>
      </c>
      <c r="K126" s="56">
        <f>K128</f>
        <v>774.30399999999997</v>
      </c>
      <c r="L126" s="13"/>
      <c r="M126" s="24"/>
      <c r="P126" s="25"/>
    </row>
    <row r="127" spans="3:16" ht="15" customHeight="1">
      <c r="C127" s="6"/>
      <c r="D127" s="54" t="s">
        <v>265</v>
      </c>
      <c r="E127" s="49" t="s">
        <v>266</v>
      </c>
      <c r="F127" s="22" t="s">
        <v>267</v>
      </c>
      <c r="G127" s="23">
        <f t="shared" si="0"/>
        <v>10.55</v>
      </c>
      <c r="H127" s="55"/>
      <c r="I127" s="55">
        <v>10.55</v>
      </c>
      <c r="J127" s="55"/>
      <c r="K127" s="55"/>
      <c r="L127" s="13"/>
      <c r="M127" s="24"/>
      <c r="P127" s="25"/>
    </row>
    <row r="128" spans="3:16" ht="15" customHeight="1">
      <c r="C128" s="6"/>
      <c r="D128" s="54" t="s">
        <v>268</v>
      </c>
      <c r="E128" s="49" t="s">
        <v>199</v>
      </c>
      <c r="F128" s="22" t="s">
        <v>269</v>
      </c>
      <c r="G128" s="23">
        <f t="shared" si="0"/>
        <v>4718.2369999999992</v>
      </c>
      <c r="H128" s="55"/>
      <c r="I128" s="55">
        <f>I34</f>
        <v>3604.3019999999997</v>
      </c>
      <c r="J128" s="55">
        <f>J34</f>
        <v>339.63099999999997</v>
      </c>
      <c r="K128" s="55">
        <f>K34</f>
        <v>774.30399999999997</v>
      </c>
      <c r="L128" s="13"/>
      <c r="M128" s="24"/>
      <c r="P128" s="25"/>
    </row>
    <row r="129" spans="3:16" ht="15" customHeight="1">
      <c r="C129" s="6"/>
      <c r="D129" s="83" t="s">
        <v>270</v>
      </c>
      <c r="E129" s="84"/>
      <c r="F129" s="84"/>
      <c r="G129" s="84"/>
      <c r="H129" s="84"/>
      <c r="I129" s="84"/>
      <c r="J129" s="84"/>
      <c r="K129" s="85"/>
      <c r="L129" s="13"/>
      <c r="M129" s="24"/>
      <c r="P129" s="59"/>
    </row>
    <row r="130" spans="3:16" ht="22.5">
      <c r="C130" s="6"/>
      <c r="D130" s="54" t="s">
        <v>271</v>
      </c>
      <c r="E130" s="21" t="s">
        <v>272</v>
      </c>
      <c r="F130" s="22" t="s">
        <v>273</v>
      </c>
      <c r="G130" s="23">
        <f t="shared" si="0"/>
        <v>0</v>
      </c>
      <c r="H130" s="56">
        <f>SUM( H131:H132)</f>
        <v>0</v>
      </c>
      <c r="I130" s="56">
        <f>SUM( I131:I132)</f>
        <v>0</v>
      </c>
      <c r="J130" s="56">
        <f>SUM( J131:J132)</f>
        <v>0</v>
      </c>
      <c r="K130" s="56">
        <f>SUM( K131:K132)</f>
        <v>0</v>
      </c>
      <c r="L130" s="13"/>
      <c r="M130" s="24"/>
      <c r="P130" s="25"/>
    </row>
    <row r="131" spans="3:16" ht="15" customHeight="1">
      <c r="C131" s="6"/>
      <c r="D131" s="54" t="s">
        <v>274</v>
      </c>
      <c r="E131" s="26" t="s">
        <v>187</v>
      </c>
      <c r="F131" s="22" t="s">
        <v>275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>
      <c r="C132" s="6"/>
      <c r="D132" s="54" t="s">
        <v>276</v>
      </c>
      <c r="E132" s="26" t="s">
        <v>190</v>
      </c>
      <c r="F132" s="22" t="s">
        <v>277</v>
      </c>
      <c r="G132" s="23">
        <f t="shared" si="0"/>
        <v>0</v>
      </c>
      <c r="H132" s="56">
        <f>H133+H135</f>
        <v>0</v>
      </c>
      <c r="I132" s="56">
        <f>I133+I135</f>
        <v>0</v>
      </c>
      <c r="J132" s="56">
        <f>J133+J135</f>
        <v>0</v>
      </c>
      <c r="K132" s="56">
        <f>K133+K135</f>
        <v>0</v>
      </c>
      <c r="L132" s="13"/>
      <c r="M132" s="24"/>
      <c r="P132" s="25"/>
    </row>
    <row r="133" spans="3:16" ht="15" customHeight="1">
      <c r="C133" s="6"/>
      <c r="D133" s="54" t="s">
        <v>278</v>
      </c>
      <c r="E133" s="49" t="s">
        <v>279</v>
      </c>
      <c r="F133" s="22" t="s">
        <v>280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>
      <c r="C134" s="6"/>
      <c r="D134" s="54" t="s">
        <v>281</v>
      </c>
      <c r="E134" s="50" t="s">
        <v>282</v>
      </c>
      <c r="F134" s="22" t="s">
        <v>283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59"/>
    </row>
    <row r="135" spans="3:16" ht="15" customHeight="1">
      <c r="C135" s="6"/>
      <c r="D135" s="54" t="s">
        <v>284</v>
      </c>
      <c r="E135" s="49" t="s">
        <v>285</v>
      </c>
      <c r="F135" s="22" t="s">
        <v>286</v>
      </c>
      <c r="G135" s="23">
        <f t="shared" si="0"/>
        <v>0</v>
      </c>
      <c r="H135" s="55"/>
      <c r="I135" s="55"/>
      <c r="J135" s="55"/>
      <c r="K135" s="55"/>
      <c r="L135" s="13"/>
      <c r="M135" s="24"/>
      <c r="P135" s="25"/>
    </row>
    <row r="136" spans="3:16" ht="15" customHeight="1">
      <c r="C136" s="6"/>
      <c r="D136" s="54" t="s">
        <v>29</v>
      </c>
      <c r="E136" s="21" t="s">
        <v>287</v>
      </c>
      <c r="F136" s="22" t="s">
        <v>288</v>
      </c>
      <c r="G136" s="23">
        <f t="shared" si="0"/>
        <v>0</v>
      </c>
      <c r="H136" s="57">
        <f>SUM( H137+H142)</f>
        <v>0</v>
      </c>
      <c r="I136" s="57">
        <f>SUM( I137+I142)</f>
        <v>0</v>
      </c>
      <c r="J136" s="57">
        <f>SUM( J137+J142)</f>
        <v>0</v>
      </c>
      <c r="K136" s="57">
        <f>SUM( K137+K142)</f>
        <v>0</v>
      </c>
      <c r="L136" s="60"/>
      <c r="M136" s="24"/>
      <c r="P136" s="25"/>
    </row>
    <row r="137" spans="3:16" ht="15" customHeight="1">
      <c r="C137" s="6"/>
      <c r="D137" s="54" t="s">
        <v>289</v>
      </c>
      <c r="E137" s="26" t="s">
        <v>187</v>
      </c>
      <c r="F137" s="22" t="s">
        <v>290</v>
      </c>
      <c r="G137" s="23">
        <f t="shared" ref="G137:G150" si="1">SUM(H137:K137)</f>
        <v>0</v>
      </c>
      <c r="H137" s="57">
        <f>SUM( H138:H139)</f>
        <v>0</v>
      </c>
      <c r="I137" s="57">
        <f>SUM( I138:I139)</f>
        <v>0</v>
      </c>
      <c r="J137" s="57">
        <f>SUM( J138:J139)</f>
        <v>0</v>
      </c>
      <c r="K137" s="57">
        <f>SUM( K138:K139)</f>
        <v>0</v>
      </c>
      <c r="L137" s="60"/>
      <c r="M137" s="24"/>
      <c r="P137" s="25"/>
    </row>
    <row r="138" spans="3:16" ht="15" customHeight="1">
      <c r="C138" s="6"/>
      <c r="D138" s="54" t="s">
        <v>291</v>
      </c>
      <c r="E138" s="49" t="s">
        <v>208</v>
      </c>
      <c r="F138" s="22" t="s">
        <v>292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293</v>
      </c>
      <c r="E139" s="49" t="s">
        <v>211</v>
      </c>
      <c r="F139" s="22" t="s">
        <v>294</v>
      </c>
      <c r="G139" s="23">
        <f t="shared" si="1"/>
        <v>0</v>
      </c>
      <c r="H139" s="57">
        <f>H140+H141</f>
        <v>0</v>
      </c>
      <c r="I139" s="57">
        <f>I140+I141</f>
        <v>0</v>
      </c>
      <c r="J139" s="57">
        <f>J140+J141</f>
        <v>0</v>
      </c>
      <c r="K139" s="57">
        <f>K140+K141</f>
        <v>0</v>
      </c>
      <c r="L139" s="60"/>
      <c r="M139" s="24"/>
      <c r="P139" s="25"/>
    </row>
    <row r="140" spans="3:16" ht="15" customHeight="1">
      <c r="C140" s="6"/>
      <c r="D140" s="54" t="s">
        <v>295</v>
      </c>
      <c r="E140" s="50" t="s">
        <v>217</v>
      </c>
      <c r="F140" s="22" t="s">
        <v>296</v>
      </c>
      <c r="G140" s="23">
        <f t="shared" si="1"/>
        <v>0</v>
      </c>
      <c r="H140" s="61"/>
      <c r="I140" s="61"/>
      <c r="J140" s="61"/>
      <c r="K140" s="61"/>
      <c r="L140" s="60"/>
      <c r="M140" s="24"/>
      <c r="P140" s="25"/>
    </row>
    <row r="141" spans="3:16" ht="15" customHeight="1">
      <c r="C141" s="6"/>
      <c r="D141" s="54" t="s">
        <v>297</v>
      </c>
      <c r="E141" s="50" t="s">
        <v>298</v>
      </c>
      <c r="F141" s="22" t="s">
        <v>299</v>
      </c>
      <c r="G141" s="23">
        <f t="shared" si="1"/>
        <v>0</v>
      </c>
      <c r="H141" s="61"/>
      <c r="I141" s="61"/>
      <c r="J141" s="61"/>
      <c r="K141" s="61"/>
      <c r="L141" s="60"/>
      <c r="M141" s="24"/>
      <c r="P141" s="25"/>
    </row>
    <row r="142" spans="3:16" ht="15" customHeight="1">
      <c r="C142" s="6"/>
      <c r="D142" s="54" t="s">
        <v>300</v>
      </c>
      <c r="E142" s="26" t="s">
        <v>249</v>
      </c>
      <c r="F142" s="22" t="s">
        <v>301</v>
      </c>
      <c r="G142" s="23">
        <f t="shared" si="1"/>
        <v>0</v>
      </c>
      <c r="H142" s="57">
        <f>H143+H145</f>
        <v>0</v>
      </c>
      <c r="I142" s="57">
        <f>I143+I145</f>
        <v>0</v>
      </c>
      <c r="J142" s="57">
        <f>J143+J145</f>
        <v>0</v>
      </c>
      <c r="K142" s="57">
        <f>K143+K145</f>
        <v>0</v>
      </c>
      <c r="L142" s="60"/>
      <c r="M142" s="24"/>
      <c r="P142" s="25"/>
    </row>
    <row r="143" spans="3:16" ht="15" customHeight="1">
      <c r="C143" s="6"/>
      <c r="D143" s="54" t="s">
        <v>302</v>
      </c>
      <c r="E143" s="49" t="s">
        <v>279</v>
      </c>
      <c r="F143" s="22" t="s">
        <v>303</v>
      </c>
      <c r="G143" s="23">
        <f t="shared" si="1"/>
        <v>0</v>
      </c>
      <c r="H143" s="55"/>
      <c r="I143" s="55"/>
      <c r="J143" s="55"/>
      <c r="K143" s="55"/>
      <c r="L143" s="60"/>
      <c r="M143" s="24"/>
      <c r="P143" s="25"/>
    </row>
    <row r="144" spans="3:16" ht="15" customHeight="1">
      <c r="C144" s="6"/>
      <c r="D144" s="54" t="s">
        <v>304</v>
      </c>
      <c r="E144" s="50" t="s">
        <v>282</v>
      </c>
      <c r="F144" s="22" t="s">
        <v>305</v>
      </c>
      <c r="G144" s="23">
        <f t="shared" si="1"/>
        <v>0</v>
      </c>
      <c r="H144" s="55"/>
      <c r="I144" s="55"/>
      <c r="J144" s="55"/>
      <c r="K144" s="55"/>
      <c r="L144" s="60"/>
      <c r="M144" s="24"/>
      <c r="P144" s="25"/>
    </row>
    <row r="145" spans="3:19" ht="15" customHeight="1">
      <c r="C145" s="6"/>
      <c r="D145" s="54" t="s">
        <v>306</v>
      </c>
      <c r="E145" s="49" t="s">
        <v>285</v>
      </c>
      <c r="F145" s="22" t="s">
        <v>307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/>
    </row>
    <row r="146" spans="3:19" ht="28.5" customHeight="1">
      <c r="C146" s="6"/>
      <c r="D146" s="54" t="s">
        <v>308</v>
      </c>
      <c r="E146" s="21" t="s">
        <v>309</v>
      </c>
      <c r="F146" s="22" t="s">
        <v>310</v>
      </c>
      <c r="G146" s="23">
        <f t="shared" si="1"/>
        <v>2614.2258086000002</v>
      </c>
      <c r="H146" s="63">
        <f>SUM( H147:H148)</f>
        <v>0</v>
      </c>
      <c r="I146" s="63">
        <f>SUM( I147:I148)</f>
        <v>2430.4933697000001</v>
      </c>
      <c r="J146" s="63">
        <f>SUM( J147:J148)</f>
        <v>56.018737139999999</v>
      </c>
      <c r="K146" s="63">
        <f>SUM( K147:K148)</f>
        <v>127.71370175999999</v>
      </c>
      <c r="L146" s="60"/>
      <c r="M146" s="24"/>
      <c r="P146" s="25"/>
    </row>
    <row r="147" spans="3:19" ht="15" customHeight="1">
      <c r="C147" s="6"/>
      <c r="D147" s="54" t="s">
        <v>311</v>
      </c>
      <c r="E147" s="26" t="s">
        <v>187</v>
      </c>
      <c r="F147" s="22" t="s">
        <v>312</v>
      </c>
      <c r="G147" s="23">
        <f t="shared" si="1"/>
        <v>0</v>
      </c>
      <c r="H147" s="62"/>
      <c r="I147" s="62"/>
      <c r="J147" s="62"/>
      <c r="K147" s="62"/>
      <c r="L147" s="60"/>
      <c r="M147" s="24"/>
      <c r="P147" s="25"/>
    </row>
    <row r="148" spans="3:19" ht="15" customHeight="1">
      <c r="C148" s="6"/>
      <c r="D148" s="54" t="s">
        <v>313</v>
      </c>
      <c r="E148" s="26" t="s">
        <v>190</v>
      </c>
      <c r="F148" s="22" t="s">
        <v>314</v>
      </c>
      <c r="G148" s="23">
        <f t="shared" si="1"/>
        <v>2614.2258086000002</v>
      </c>
      <c r="H148" s="63">
        <f>H149+H150</f>
        <v>0</v>
      </c>
      <c r="I148" s="63">
        <f>I149+I150</f>
        <v>2430.4933697000001</v>
      </c>
      <c r="J148" s="63">
        <f>J149+J150</f>
        <v>56.018737139999999</v>
      </c>
      <c r="K148" s="63">
        <f>K149+K150</f>
        <v>127.71370175999999</v>
      </c>
      <c r="L148" s="60"/>
      <c r="M148" s="24"/>
      <c r="P148" s="25"/>
    </row>
    <row r="149" spans="3:19" ht="15" customHeight="1">
      <c r="C149" s="6"/>
      <c r="D149" s="54" t="s">
        <v>315</v>
      </c>
      <c r="E149" s="49" t="s">
        <v>316</v>
      </c>
      <c r="F149" s="22" t="s">
        <v>317</v>
      </c>
      <c r="G149" s="23">
        <f t="shared" si="1"/>
        <v>1819.1300645000003</v>
      </c>
      <c r="H149" s="62"/>
      <c r="I149" s="62">
        <f>I127*172429.39/1000</f>
        <v>1819.1300645000003</v>
      </c>
      <c r="J149" s="62"/>
      <c r="K149" s="62"/>
      <c r="L149" s="60"/>
      <c r="M149" s="24"/>
      <c r="P149" s="25"/>
    </row>
    <row r="150" spans="3:19" ht="15" customHeight="1">
      <c r="C150" s="6"/>
      <c r="D150" s="54" t="s">
        <v>319</v>
      </c>
      <c r="E150" s="49" t="s">
        <v>285</v>
      </c>
      <c r="F150" s="22" t="s">
        <v>320</v>
      </c>
      <c r="G150" s="23">
        <f t="shared" si="1"/>
        <v>795.09574409999982</v>
      </c>
      <c r="H150" s="62"/>
      <c r="I150" s="62">
        <f>(I34+G48)*164.94/1000</f>
        <v>611.3633051999999</v>
      </c>
      <c r="J150" s="62">
        <f>J34*164.94/1000</f>
        <v>56.018737139999999</v>
      </c>
      <c r="K150" s="62">
        <f>K34*164.94/1000</f>
        <v>127.71370175999999</v>
      </c>
      <c r="L150" s="60"/>
      <c r="M150" s="24"/>
      <c r="P150" s="25"/>
    </row>
    <row r="151" spans="3:19">
      <c r="D151" s="11"/>
      <c r="E151" s="64"/>
      <c r="F151" s="64"/>
      <c r="G151" s="64"/>
      <c r="H151" s="64"/>
      <c r="I151" s="64"/>
      <c r="J151" s="64"/>
      <c r="K151" s="65"/>
      <c r="L151" s="65"/>
      <c r="M151" s="65"/>
      <c r="N151" s="65"/>
      <c r="O151" s="65"/>
      <c r="P151" s="65"/>
      <c r="Q151" s="65"/>
      <c r="R151" s="66"/>
      <c r="S151" s="66"/>
    </row>
    <row r="152" spans="3:19" ht="12.75">
      <c r="E152" s="24" t="s">
        <v>322</v>
      </c>
      <c r="F152" s="76" t="str">
        <f>IF([7]Титульный!G45="","",[7]Титульный!G45)</f>
        <v>экономист</v>
      </c>
      <c r="G152" s="76"/>
      <c r="H152" s="67"/>
      <c r="I152" s="76" t="str">
        <f>IF([7]Титульный!G44="","",[7]Титульный!G44)</f>
        <v>Гизикова А.Н.</v>
      </c>
      <c r="J152" s="76"/>
      <c r="K152" s="76"/>
      <c r="L152" s="67"/>
      <c r="M152" s="68"/>
      <c r="N152" s="68"/>
      <c r="O152" s="69"/>
      <c r="P152" s="65"/>
      <c r="Q152" s="65"/>
      <c r="R152" s="66"/>
      <c r="S152" s="66"/>
    </row>
    <row r="153" spans="3:19" ht="12.75">
      <c r="E153" s="70" t="s">
        <v>323</v>
      </c>
      <c r="F153" s="86" t="s">
        <v>324</v>
      </c>
      <c r="G153" s="86"/>
      <c r="H153" s="69"/>
      <c r="I153" s="86" t="s">
        <v>325</v>
      </c>
      <c r="J153" s="86"/>
      <c r="K153" s="86"/>
      <c r="L153" s="69"/>
      <c r="M153" s="86" t="s">
        <v>326</v>
      </c>
      <c r="N153" s="86"/>
      <c r="O153" s="24"/>
      <c r="P153" s="65"/>
      <c r="Q153" s="65"/>
      <c r="R153" s="66"/>
      <c r="S153" s="66"/>
    </row>
    <row r="154" spans="3:19" ht="12.75">
      <c r="E154" s="70" t="s">
        <v>327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65"/>
      <c r="Q154" s="65"/>
      <c r="R154" s="66"/>
      <c r="S154" s="66"/>
    </row>
    <row r="155" spans="3:19" ht="12.75">
      <c r="E155" s="70" t="s">
        <v>328</v>
      </c>
      <c r="F155" s="76" t="str">
        <f>IF([7]Титульный!G46="","",[7]Титульный!G46)</f>
        <v>(861) 258-50-71</v>
      </c>
      <c r="G155" s="76"/>
      <c r="H155" s="76"/>
      <c r="I155" s="24"/>
      <c r="J155" s="70" t="s">
        <v>329</v>
      </c>
      <c r="K155" s="71"/>
      <c r="L155" s="24"/>
      <c r="M155" s="24"/>
      <c r="N155" s="24"/>
      <c r="O155" s="24"/>
      <c r="P155" s="65"/>
      <c r="Q155" s="65"/>
      <c r="R155" s="66"/>
      <c r="S155" s="66"/>
    </row>
    <row r="156" spans="3:19" ht="12.75">
      <c r="E156" s="24" t="s">
        <v>330</v>
      </c>
      <c r="F156" s="87" t="s">
        <v>331</v>
      </c>
      <c r="G156" s="87"/>
      <c r="H156" s="87"/>
      <c r="I156" s="24"/>
      <c r="J156" s="72" t="s">
        <v>332</v>
      </c>
      <c r="K156" s="72"/>
      <c r="L156" s="24"/>
      <c r="M156" s="24"/>
      <c r="N156" s="24"/>
      <c r="O156" s="24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  <row r="184" spans="5:19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</row>
    <row r="185" spans="5:19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19 E58 E65 E81"/>
    <dataValidation type="decimal" allowBlank="1" showErrorMessage="1" errorTitle="Ошибка" error="Допускается ввод только действительных чисел!" sqref="G24:K26 G93:K95 G15:K19 G54:K58 G83:K91 G97:K128 G63:K65 G44:K52 G28:K42 G130:K150 G60:K61 G21:K22 G67:K81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indexed="31"/>
  </sheetPr>
  <dimension ref="A1:CC185"/>
  <sheetViews>
    <sheetView topLeftCell="C7" workbookViewId="0">
      <selection activeCell="L19" sqref="L19:P150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339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4314.4439999999995</v>
      </c>
      <c r="H15" s="23">
        <f>H16+H17+H21+H24</f>
        <v>0</v>
      </c>
      <c r="I15" s="23">
        <f>I16+I17+I21+I24</f>
        <v>4313.0259999999998</v>
      </c>
      <c r="J15" s="23">
        <f>J16+J17+J21+J24</f>
        <v>1.4179999999999999</v>
      </c>
      <c r="K15" s="23">
        <f>K16+K17+K21+K24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6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1.4179999999999999</v>
      </c>
      <c r="H17" s="23">
        <f>SUM(H18:H20)</f>
        <v>0</v>
      </c>
      <c r="I17" s="23">
        <f>SUM(I18:I20)</f>
        <v>0</v>
      </c>
      <c r="J17" s="23">
        <f>SUM(J18:J20)</f>
        <v>1.4179999999999999</v>
      </c>
      <c r="K17" s="23">
        <f>SUM(K18:K20)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32" t="s">
        <v>30</v>
      </c>
      <c r="D19" s="33" t="s">
        <v>31</v>
      </c>
      <c r="E19" s="34" t="s">
        <v>32</v>
      </c>
      <c r="F19" s="35">
        <v>31</v>
      </c>
      <c r="G19" s="36">
        <f>SUM(H19:K19)</f>
        <v>1.4179999999999999</v>
      </c>
      <c r="H19" s="37"/>
      <c r="I19" s="37"/>
      <c r="J19" s="37">
        <v>1.4179999999999999</v>
      </c>
      <c r="K19" s="38"/>
      <c r="L19" s="19"/>
      <c r="M19" s="39"/>
      <c r="N19" s="40"/>
      <c r="O19" s="40"/>
    </row>
    <row r="20" spans="3:16" s="17" customFormat="1" ht="15" customHeight="1">
      <c r="C20" s="18"/>
      <c r="D20" s="41"/>
      <c r="E20" s="42" t="s">
        <v>33</v>
      </c>
      <c r="F20" s="43"/>
      <c r="G20" s="43"/>
      <c r="H20" s="43"/>
      <c r="I20" s="43"/>
      <c r="J20" s="43"/>
      <c r="K20" s="44"/>
      <c r="L20" s="19"/>
      <c r="M20" s="24"/>
      <c r="P20" s="45"/>
    </row>
    <row r="21" spans="3:16" s="17" customFormat="1" ht="15" customHeight="1">
      <c r="C21" s="18"/>
      <c r="D21" s="20" t="s">
        <v>34</v>
      </c>
      <c r="E21" s="26" t="s">
        <v>35</v>
      </c>
      <c r="F21" s="22" t="s">
        <v>36</v>
      </c>
      <c r="G21" s="23">
        <f t="shared" si="0"/>
        <v>0</v>
      </c>
      <c r="H21" s="23">
        <f>SUM(H22:H23)</f>
        <v>0</v>
      </c>
      <c r="I21" s="23">
        <f>SUM(I22:I23)</f>
        <v>0</v>
      </c>
      <c r="J21" s="23">
        <f>SUM(J22:J23)</f>
        <v>0</v>
      </c>
      <c r="K21" s="23">
        <f>SUM(K22:K23)</f>
        <v>0</v>
      </c>
      <c r="L21" s="19"/>
      <c r="M21" s="24"/>
      <c r="P21" s="45"/>
    </row>
    <row r="22" spans="3:16" s="17" customFormat="1" ht="12.75" hidden="1">
      <c r="C22" s="18"/>
      <c r="D22" s="28" t="s">
        <v>37</v>
      </c>
      <c r="E22" s="29"/>
      <c r="F22" s="30" t="s">
        <v>36</v>
      </c>
      <c r="G22" s="31"/>
      <c r="H22" s="31"/>
      <c r="I22" s="31"/>
      <c r="J22" s="31"/>
      <c r="K22" s="31"/>
      <c r="L22" s="19"/>
      <c r="M22" s="24"/>
      <c r="P22" s="25"/>
    </row>
    <row r="23" spans="3:16" s="17" customFormat="1" ht="15" customHeight="1">
      <c r="C23" s="18"/>
      <c r="D23" s="41"/>
      <c r="E23" s="42" t="s">
        <v>33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>
      <c r="C24" s="18"/>
      <c r="D24" s="20" t="s">
        <v>38</v>
      </c>
      <c r="E24" s="26" t="s">
        <v>39</v>
      </c>
      <c r="F24" s="22" t="s">
        <v>40</v>
      </c>
      <c r="G24" s="23">
        <f t="shared" si="0"/>
        <v>4313.0259999999998</v>
      </c>
      <c r="H24" s="23">
        <f>SUM(H25:H27)</f>
        <v>0</v>
      </c>
      <c r="I24" s="23">
        <f>SUM(I25:I27)</f>
        <v>4313.0259999999998</v>
      </c>
      <c r="J24" s="23">
        <f>SUM(J25:J27)</f>
        <v>0</v>
      </c>
      <c r="K24" s="23">
        <f>SUM(K25:K27)</f>
        <v>0</v>
      </c>
      <c r="L24" s="19"/>
      <c r="M24" s="24"/>
      <c r="P24" s="25"/>
    </row>
    <row r="25" spans="3:16" s="17" customFormat="1" ht="12.75" hidden="1">
      <c r="C25" s="18"/>
      <c r="D25" s="28" t="s">
        <v>41</v>
      </c>
      <c r="E25" s="29"/>
      <c r="F25" s="30" t="s">
        <v>40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>
      <c r="C26" s="32" t="s">
        <v>30</v>
      </c>
      <c r="D26" s="33" t="s">
        <v>42</v>
      </c>
      <c r="E26" s="34" t="s">
        <v>43</v>
      </c>
      <c r="F26" s="35">
        <v>431</v>
      </c>
      <c r="G26" s="36">
        <f>SUM(H26:K26)</f>
        <v>4313.0259999999998</v>
      </c>
      <c r="H26" s="37"/>
      <c r="I26" s="37">
        <v>4313.0259999999998</v>
      </c>
      <c r="J26" s="37"/>
      <c r="K26" s="38"/>
      <c r="L26" s="19"/>
      <c r="M26" s="39"/>
      <c r="N26" s="40"/>
      <c r="O26" s="40"/>
    </row>
    <row r="27" spans="3:16" s="17" customFormat="1" ht="15" customHeight="1">
      <c r="C27" s="18"/>
      <c r="D27" s="41"/>
      <c r="E27" s="42" t="s">
        <v>33</v>
      </c>
      <c r="F27" s="43"/>
      <c r="G27" s="43"/>
      <c r="H27" s="43"/>
      <c r="I27" s="43"/>
      <c r="J27" s="43"/>
      <c r="K27" s="44"/>
      <c r="L27" s="19"/>
      <c r="M27" s="24"/>
      <c r="P27" s="25"/>
    </row>
    <row r="28" spans="3:16" s="17" customFormat="1" ht="15" customHeight="1">
      <c r="C28" s="18"/>
      <c r="D28" s="20" t="s">
        <v>44</v>
      </c>
      <c r="E28" s="21" t="s">
        <v>45</v>
      </c>
      <c r="F28" s="22" t="s">
        <v>46</v>
      </c>
      <c r="G28" s="23">
        <f t="shared" si="0"/>
        <v>1746.6469999999993</v>
      </c>
      <c r="H28" s="23">
        <f>H30+H31+H32</f>
        <v>0</v>
      </c>
      <c r="I28" s="23">
        <f>I29+I31+I32</f>
        <v>0</v>
      </c>
      <c r="J28" s="23">
        <f>J29+J30+J32</f>
        <v>1054.9849999999997</v>
      </c>
      <c r="K28" s="23">
        <f>K29+K30+K31</f>
        <v>691.66199999999958</v>
      </c>
      <c r="L28" s="19"/>
      <c r="M28" s="24"/>
      <c r="P28" s="25"/>
    </row>
    <row r="29" spans="3:16" s="17" customFormat="1" ht="15" customHeight="1">
      <c r="C29" s="18"/>
      <c r="D29" s="20" t="s">
        <v>47</v>
      </c>
      <c r="E29" s="26" t="s">
        <v>17</v>
      </c>
      <c r="F29" s="22" t="s">
        <v>48</v>
      </c>
      <c r="G29" s="23">
        <f t="shared" si="0"/>
        <v>0</v>
      </c>
      <c r="H29" s="46"/>
      <c r="I29" s="27"/>
      <c r="J29" s="27"/>
      <c r="K29" s="27"/>
      <c r="L29" s="19"/>
      <c r="M29" s="24"/>
      <c r="P29" s="25"/>
    </row>
    <row r="30" spans="3:16" s="17" customFormat="1" ht="15" customHeight="1">
      <c r="C30" s="18"/>
      <c r="D30" s="20" t="s">
        <v>49</v>
      </c>
      <c r="E30" s="26" t="s">
        <v>18</v>
      </c>
      <c r="F30" s="22" t="s">
        <v>50</v>
      </c>
      <c r="G30" s="23">
        <f t="shared" si="0"/>
        <v>1054.9849999999997</v>
      </c>
      <c r="H30" s="27"/>
      <c r="I30" s="46"/>
      <c r="J30" s="27">
        <f>I15-I34-I48</f>
        <v>1054.9849999999997</v>
      </c>
      <c r="K30" s="27"/>
      <c r="L30" s="19"/>
      <c r="M30" s="24"/>
      <c r="P30" s="25"/>
    </row>
    <row r="31" spans="3:16" s="17" customFormat="1" ht="15" customHeight="1">
      <c r="C31" s="18"/>
      <c r="D31" s="20" t="s">
        <v>51</v>
      </c>
      <c r="E31" s="26" t="s">
        <v>19</v>
      </c>
      <c r="F31" s="22" t="s">
        <v>52</v>
      </c>
      <c r="G31" s="23">
        <f t="shared" si="0"/>
        <v>691.66199999999958</v>
      </c>
      <c r="H31" s="27"/>
      <c r="I31" s="27"/>
      <c r="J31" s="46"/>
      <c r="K31" s="27">
        <f>J15+J28-J34-J48</f>
        <v>691.66199999999958</v>
      </c>
      <c r="L31" s="19"/>
      <c r="M31" s="24"/>
      <c r="P31" s="25"/>
    </row>
    <row r="32" spans="3:16" s="17" customFormat="1" ht="15" customHeight="1">
      <c r="C32" s="18"/>
      <c r="D32" s="20" t="s">
        <v>53</v>
      </c>
      <c r="E32" s="26" t="s">
        <v>54</v>
      </c>
      <c r="F32" s="22" t="s">
        <v>55</v>
      </c>
      <c r="G32" s="23">
        <f t="shared" si="0"/>
        <v>0</v>
      </c>
      <c r="H32" s="27"/>
      <c r="I32" s="27"/>
      <c r="J32" s="27"/>
      <c r="K32" s="46"/>
      <c r="L32" s="19"/>
      <c r="M32" s="24"/>
      <c r="P32" s="25"/>
    </row>
    <row r="33" spans="3:16" s="17" customFormat="1" ht="15" customHeight="1">
      <c r="C33" s="18"/>
      <c r="D33" s="20" t="s">
        <v>56</v>
      </c>
      <c r="E33" s="47" t="s">
        <v>57</v>
      </c>
      <c r="F33" s="22" t="s">
        <v>58</v>
      </c>
      <c r="G33" s="23">
        <f t="shared" si="0"/>
        <v>0</v>
      </c>
      <c r="H33" s="27"/>
      <c r="I33" s="27"/>
      <c r="J33" s="27"/>
      <c r="K33" s="27"/>
      <c r="L33" s="19"/>
      <c r="M33" s="24"/>
      <c r="P33" s="25"/>
    </row>
    <row r="34" spans="3:16" s="17" customFormat="1" ht="15" customHeight="1">
      <c r="C34" s="18"/>
      <c r="D34" s="20" t="s">
        <v>59</v>
      </c>
      <c r="E34" s="21" t="s">
        <v>60</v>
      </c>
      <c r="F34" s="48" t="s">
        <v>61</v>
      </c>
      <c r="G34" s="23">
        <f t="shared" si="0"/>
        <v>4170.58</v>
      </c>
      <c r="H34" s="23">
        <f>H35+H37+H40+H44</f>
        <v>0</v>
      </c>
      <c r="I34" s="23">
        <f>I35+I37+I40+I44</f>
        <v>3225.6030000000001</v>
      </c>
      <c r="J34" s="23">
        <f>J35+J37+J40+J44</f>
        <v>331.70600000000002</v>
      </c>
      <c r="K34" s="23">
        <f>K35+K37+K40+K44</f>
        <v>613.27099999999996</v>
      </c>
      <c r="L34" s="19"/>
      <c r="M34" s="24"/>
      <c r="P34" s="25"/>
    </row>
    <row r="35" spans="3:16" s="17" customFormat="1" ht="22.5">
      <c r="C35" s="18"/>
      <c r="D35" s="20" t="s">
        <v>62</v>
      </c>
      <c r="E35" s="26" t="s">
        <v>63</v>
      </c>
      <c r="F35" s="22" t="s">
        <v>64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65</v>
      </c>
      <c r="E36" s="49" t="s">
        <v>66</v>
      </c>
      <c r="F36" s="22" t="s">
        <v>67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>
      <c r="C37" s="18"/>
      <c r="D37" s="20" t="s">
        <v>68</v>
      </c>
      <c r="E37" s="26" t="s">
        <v>69</v>
      </c>
      <c r="F37" s="22" t="s">
        <v>70</v>
      </c>
      <c r="G37" s="23">
        <f t="shared" si="0"/>
        <v>1722.4759999999999</v>
      </c>
      <c r="H37" s="27"/>
      <c r="I37" s="27">
        <v>777.49900000000002</v>
      </c>
      <c r="J37" s="27">
        <v>331.70600000000002</v>
      </c>
      <c r="K37" s="27">
        <v>613.27099999999996</v>
      </c>
      <c r="L37" s="19"/>
      <c r="M37" s="24"/>
      <c r="P37" s="25"/>
    </row>
    <row r="38" spans="3:16" s="17" customFormat="1" ht="15" customHeight="1">
      <c r="C38" s="18"/>
      <c r="D38" s="20" t="s">
        <v>71</v>
      </c>
      <c r="E38" s="49" t="s">
        <v>72</v>
      </c>
      <c r="F38" s="22" t="s">
        <v>73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74</v>
      </c>
      <c r="E39" s="50" t="s">
        <v>66</v>
      </c>
      <c r="F39" s="22" t="s">
        <v>75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>
      <c r="C40" s="18"/>
      <c r="D40" s="20" t="s">
        <v>76</v>
      </c>
      <c r="E40" s="26" t="s">
        <v>77</v>
      </c>
      <c r="F40" s="22" t="s">
        <v>78</v>
      </c>
      <c r="G40" s="23">
        <f t="shared" si="0"/>
        <v>2448.1039999999998</v>
      </c>
      <c r="H40" s="23">
        <f>SUM(H41:H43)</f>
        <v>0</v>
      </c>
      <c r="I40" s="23">
        <f>SUM(I41:I43)</f>
        <v>2448.1039999999998</v>
      </c>
      <c r="J40" s="23">
        <f>SUM(J41:J43)</f>
        <v>0</v>
      </c>
      <c r="K40" s="23">
        <f>SUM(K41:K43)</f>
        <v>0</v>
      </c>
      <c r="L40" s="19"/>
      <c r="M40" s="24"/>
      <c r="P40" s="25"/>
    </row>
    <row r="41" spans="3:16" s="17" customFormat="1" ht="12.75" hidden="1">
      <c r="C41" s="18"/>
      <c r="D41" s="28" t="s">
        <v>79</v>
      </c>
      <c r="E41" s="29"/>
      <c r="F41" s="30" t="s">
        <v>78</v>
      </c>
      <c r="G41" s="31"/>
      <c r="H41" s="31"/>
      <c r="I41" s="31"/>
      <c r="J41" s="31"/>
      <c r="K41" s="31"/>
      <c r="L41" s="19"/>
      <c r="M41" s="24"/>
      <c r="P41" s="25"/>
    </row>
    <row r="42" spans="3:16" s="17" customFormat="1" ht="15" customHeight="1">
      <c r="C42" s="32" t="s">
        <v>30</v>
      </c>
      <c r="D42" s="33" t="s">
        <v>80</v>
      </c>
      <c r="E42" s="34" t="s">
        <v>81</v>
      </c>
      <c r="F42" s="35">
        <v>751</v>
      </c>
      <c r="G42" s="36">
        <f>SUM(H42:K42)</f>
        <v>2448.1039999999998</v>
      </c>
      <c r="H42" s="37"/>
      <c r="I42" s="37">
        <v>2448.1039999999998</v>
      </c>
      <c r="J42" s="37"/>
      <c r="K42" s="38"/>
      <c r="L42" s="19"/>
      <c r="M42" s="39"/>
      <c r="N42" s="40"/>
      <c r="O42" s="40"/>
    </row>
    <row r="43" spans="3:16" s="17" customFormat="1" ht="15" customHeight="1">
      <c r="C43" s="18"/>
      <c r="D43" s="51"/>
      <c r="E43" s="42" t="s">
        <v>33</v>
      </c>
      <c r="F43" s="43"/>
      <c r="G43" s="43"/>
      <c r="H43" s="43"/>
      <c r="I43" s="43"/>
      <c r="J43" s="43"/>
      <c r="K43" s="44"/>
      <c r="L43" s="19"/>
      <c r="M43" s="24"/>
      <c r="P43" s="25"/>
    </row>
    <row r="44" spans="3:16" s="17" customFormat="1" ht="15" customHeight="1">
      <c r="C44" s="18"/>
      <c r="D44" s="20" t="s">
        <v>82</v>
      </c>
      <c r="E44" s="52" t="s">
        <v>83</v>
      </c>
      <c r="F44" s="22" t="s">
        <v>84</v>
      </c>
      <c r="G44" s="23">
        <f t="shared" si="0"/>
        <v>0</v>
      </c>
      <c r="H44" s="27"/>
      <c r="I44" s="27"/>
      <c r="J44" s="27"/>
      <c r="K44" s="27"/>
      <c r="L44" s="19"/>
      <c r="M44" s="24"/>
      <c r="P44" s="25"/>
    </row>
    <row r="45" spans="3:16" s="17" customFormat="1" ht="15" customHeight="1">
      <c r="C45" s="18"/>
      <c r="D45" s="20" t="s">
        <v>85</v>
      </c>
      <c r="E45" s="21" t="s">
        <v>86</v>
      </c>
      <c r="F45" s="22" t="s">
        <v>87</v>
      </c>
      <c r="G45" s="23">
        <f t="shared" si="0"/>
        <v>1746.6469999999993</v>
      </c>
      <c r="H45" s="27"/>
      <c r="I45" s="27">
        <f>I15-I34-I48</f>
        <v>1054.9849999999997</v>
      </c>
      <c r="J45" s="27">
        <f>J19+J30-J37-J48</f>
        <v>691.66199999999958</v>
      </c>
      <c r="K45" s="27"/>
      <c r="L45" s="19"/>
      <c r="M45" s="24"/>
      <c r="P45" s="25"/>
    </row>
    <row r="46" spans="3:16" s="17" customFormat="1" ht="15" customHeight="1">
      <c r="C46" s="18"/>
      <c r="D46" s="20" t="s">
        <v>88</v>
      </c>
      <c r="E46" s="21" t="s">
        <v>89</v>
      </c>
      <c r="F46" s="22" t="s">
        <v>90</v>
      </c>
      <c r="G46" s="23">
        <f t="shared" si="0"/>
        <v>0</v>
      </c>
      <c r="H46" s="27"/>
      <c r="I46" s="27"/>
      <c r="J46" s="27"/>
      <c r="K46" s="27"/>
      <c r="L46" s="19"/>
      <c r="M46" s="24"/>
      <c r="P46" s="25"/>
    </row>
    <row r="47" spans="3:16" s="17" customFormat="1" ht="15" customHeight="1">
      <c r="C47" s="18"/>
      <c r="D47" s="20" t="s">
        <v>91</v>
      </c>
      <c r="E47" s="21" t="s">
        <v>92</v>
      </c>
      <c r="F47" s="22" t="s">
        <v>93</v>
      </c>
      <c r="G47" s="23">
        <f t="shared" si="0"/>
        <v>0</v>
      </c>
      <c r="H47" s="27"/>
      <c r="I47" s="27"/>
      <c r="J47" s="27"/>
      <c r="K47" s="27"/>
      <c r="L47" s="19"/>
      <c r="M47" s="24"/>
      <c r="P47" s="25"/>
    </row>
    <row r="48" spans="3:16" s="17" customFormat="1" ht="15" customHeight="1">
      <c r="C48" s="18"/>
      <c r="D48" s="20" t="s">
        <v>94</v>
      </c>
      <c r="E48" s="21" t="s">
        <v>95</v>
      </c>
      <c r="F48" s="22" t="s">
        <v>96</v>
      </c>
      <c r="G48" s="23">
        <f t="shared" si="0"/>
        <v>143.864</v>
      </c>
      <c r="H48" s="27"/>
      <c r="I48" s="27">
        <v>32.438000000000002</v>
      </c>
      <c r="J48" s="27">
        <v>33.034999999999997</v>
      </c>
      <c r="K48" s="27">
        <v>78.391000000000005</v>
      </c>
      <c r="L48" s="19"/>
      <c r="M48" s="24"/>
      <c r="P48" s="25"/>
    </row>
    <row r="49" spans="3:16" s="17" customFormat="1" ht="15" customHeight="1">
      <c r="C49" s="18"/>
      <c r="D49" s="20" t="s">
        <v>97</v>
      </c>
      <c r="E49" s="26" t="s">
        <v>98</v>
      </c>
      <c r="F49" s="22" t="s">
        <v>99</v>
      </c>
      <c r="G49" s="23">
        <f t="shared" si="0"/>
        <v>0</v>
      </c>
      <c r="H49" s="27"/>
      <c r="I49" s="27"/>
      <c r="J49" s="27"/>
      <c r="K49" s="27"/>
      <c r="L49" s="19"/>
      <c r="M49" s="24"/>
      <c r="P49" s="25"/>
    </row>
    <row r="50" spans="3:16" s="17" customFormat="1" ht="15" customHeight="1">
      <c r="C50" s="18"/>
      <c r="D50" s="20" t="s">
        <v>100</v>
      </c>
      <c r="E50" s="21" t="s">
        <v>101</v>
      </c>
      <c r="F50" s="22" t="s">
        <v>102</v>
      </c>
      <c r="G50" s="23">
        <f t="shared" si="0"/>
        <v>256</v>
      </c>
      <c r="H50" s="27"/>
      <c r="I50" s="27">
        <v>43.358859829047589</v>
      </c>
      <c r="J50" s="27">
        <v>100.21179223588436</v>
      </c>
      <c r="K50" s="27">
        <v>112.42934793506804</v>
      </c>
      <c r="L50" s="19"/>
      <c r="M50" s="24"/>
      <c r="P50" s="45"/>
    </row>
    <row r="51" spans="3:16" s="17" customFormat="1" ht="33.75">
      <c r="C51" s="18"/>
      <c r="D51" s="20" t="s">
        <v>103</v>
      </c>
      <c r="E51" s="47" t="s">
        <v>104</v>
      </c>
      <c r="F51" s="22" t="s">
        <v>105</v>
      </c>
      <c r="G51" s="23">
        <f t="shared" si="0"/>
        <v>-112.13599999999998</v>
      </c>
      <c r="H51" s="23">
        <f>H48-H50</f>
        <v>0</v>
      </c>
      <c r="I51" s="23">
        <f>I48-I50</f>
        <v>-10.920859829047586</v>
      </c>
      <c r="J51" s="23">
        <f>J48-J50</f>
        <v>-67.176792235884363</v>
      </c>
      <c r="K51" s="23">
        <f>K48-K50</f>
        <v>-34.038347935068032</v>
      </c>
      <c r="L51" s="19"/>
      <c r="M51" s="24"/>
      <c r="P51" s="45"/>
    </row>
    <row r="52" spans="3:16" s="17" customFormat="1" ht="15" customHeight="1">
      <c r="C52" s="18"/>
      <c r="D52" s="20" t="s">
        <v>106</v>
      </c>
      <c r="E52" s="21" t="s">
        <v>107</v>
      </c>
      <c r="F52" s="22" t="s">
        <v>108</v>
      </c>
      <c r="G52" s="23">
        <f t="shared" si="0"/>
        <v>0</v>
      </c>
      <c r="H52" s="23">
        <f>(H15+H28+H33)-(H34+H45+H46+H47+H48)</f>
        <v>0</v>
      </c>
      <c r="I52" s="23">
        <f>(I15+I28+I33)-(I34+I45+I46+I47+I48)</f>
        <v>0</v>
      </c>
      <c r="J52" s="23">
        <f>(J15+J28+J33)-(J34+J45+J46+J47+J48)</f>
        <v>0</v>
      </c>
      <c r="K52" s="23">
        <f>(K15+K28+K33)-(K34+K45+K46+K47+K48)</f>
        <v>0</v>
      </c>
      <c r="L52" s="19"/>
      <c r="M52" s="24"/>
      <c r="P52" s="25"/>
    </row>
    <row r="53" spans="3:16" s="17" customFormat="1" ht="15" customHeight="1">
      <c r="C53" s="18"/>
      <c r="D53" s="83" t="s">
        <v>109</v>
      </c>
      <c r="E53" s="84"/>
      <c r="F53" s="84"/>
      <c r="G53" s="84"/>
      <c r="H53" s="84"/>
      <c r="I53" s="84"/>
      <c r="J53" s="84"/>
      <c r="K53" s="85"/>
      <c r="L53" s="19"/>
      <c r="M53" s="24"/>
      <c r="P53" s="45"/>
    </row>
    <row r="54" spans="3:16" s="17" customFormat="1" ht="15" customHeight="1">
      <c r="C54" s="18"/>
      <c r="D54" s="20" t="s">
        <v>110</v>
      </c>
      <c r="E54" s="21" t="s">
        <v>23</v>
      </c>
      <c r="F54" s="22" t="s">
        <v>111</v>
      </c>
      <c r="G54" s="23">
        <f t="shared" si="0"/>
        <v>5.992283333333333</v>
      </c>
      <c r="H54" s="23">
        <f>H55+H56+H60+H63</f>
        <v>0</v>
      </c>
      <c r="I54" s="23">
        <f>I55+I56+I60+I63</f>
        <v>5.9903138888888883</v>
      </c>
      <c r="J54" s="23">
        <f>J55+J56+J60+J63</f>
        <v>1.9694444444444442E-3</v>
      </c>
      <c r="K54" s="23">
        <f>K55+K56+K60+K63</f>
        <v>0</v>
      </c>
      <c r="L54" s="19"/>
      <c r="M54" s="24"/>
      <c r="P54" s="25"/>
    </row>
    <row r="55" spans="3:16" s="17" customFormat="1" ht="15" customHeight="1">
      <c r="C55" s="18"/>
      <c r="D55" s="20" t="s">
        <v>112</v>
      </c>
      <c r="E55" s="26" t="s">
        <v>25</v>
      </c>
      <c r="F55" s="22" t="s">
        <v>113</v>
      </c>
      <c r="G55" s="23">
        <f t="shared" si="0"/>
        <v>0</v>
      </c>
      <c r="H55" s="27"/>
      <c r="I55" s="27"/>
      <c r="J55" s="27"/>
      <c r="K55" s="27"/>
      <c r="L55" s="19"/>
      <c r="M55" s="24"/>
      <c r="P55" s="25"/>
    </row>
    <row r="56" spans="3:16" s="17" customFormat="1" ht="15" customHeight="1">
      <c r="C56" s="18"/>
      <c r="D56" s="20" t="s">
        <v>114</v>
      </c>
      <c r="E56" s="26" t="s">
        <v>27</v>
      </c>
      <c r="F56" s="22" t="s">
        <v>115</v>
      </c>
      <c r="G56" s="23">
        <f t="shared" si="0"/>
        <v>1.9694444444444442E-3</v>
      </c>
      <c r="H56" s="23">
        <f>SUM(H57:H59)</f>
        <v>0</v>
      </c>
      <c r="I56" s="23">
        <f>SUM(I57:I59)</f>
        <v>0</v>
      </c>
      <c r="J56" s="23">
        <f>SUM(J57:J59)</f>
        <v>1.9694444444444442E-3</v>
      </c>
      <c r="K56" s="23">
        <f>SUM(K57:K59)</f>
        <v>0</v>
      </c>
      <c r="L56" s="19"/>
      <c r="M56" s="24"/>
      <c r="P56" s="25"/>
    </row>
    <row r="57" spans="3:16" s="17" customFormat="1" ht="12.75" hidden="1">
      <c r="C57" s="18"/>
      <c r="D57" s="28" t="s">
        <v>116</v>
      </c>
      <c r="E57" s="29"/>
      <c r="F57" s="30" t="s">
        <v>115</v>
      </c>
      <c r="G57" s="31"/>
      <c r="H57" s="31"/>
      <c r="I57" s="31"/>
      <c r="J57" s="31"/>
      <c r="K57" s="31"/>
      <c r="L57" s="19"/>
      <c r="M57" s="24"/>
      <c r="P57" s="25"/>
    </row>
    <row r="58" spans="3:16" s="17" customFormat="1" ht="15" customHeight="1">
      <c r="C58" s="32" t="s">
        <v>30</v>
      </c>
      <c r="D58" s="33" t="s">
        <v>117</v>
      </c>
      <c r="E58" s="34" t="s">
        <v>32</v>
      </c>
      <c r="F58" s="35">
        <v>1061</v>
      </c>
      <c r="G58" s="36">
        <f>SUM(H58:K58)</f>
        <v>1.9694444444444442E-3</v>
      </c>
      <c r="H58" s="37"/>
      <c r="I58" s="37"/>
      <c r="J58" s="37">
        <f>J19/720</f>
        <v>1.9694444444444442E-3</v>
      </c>
      <c r="K58" s="38"/>
      <c r="L58" s="19"/>
      <c r="M58" s="39"/>
      <c r="N58" s="40"/>
      <c r="O58" s="40"/>
    </row>
    <row r="59" spans="3:16" s="17" customFormat="1" ht="15" customHeight="1">
      <c r="C59" s="18"/>
      <c r="D59" s="41"/>
      <c r="E59" s="42" t="s">
        <v>33</v>
      </c>
      <c r="F59" s="43"/>
      <c r="G59" s="43"/>
      <c r="H59" s="43"/>
      <c r="I59" s="43"/>
      <c r="J59" s="43"/>
      <c r="K59" s="44"/>
      <c r="L59" s="19"/>
      <c r="M59" s="24"/>
      <c r="P59" s="25"/>
    </row>
    <row r="60" spans="3:16" s="17" customFormat="1" ht="15" customHeight="1">
      <c r="C60" s="18"/>
      <c r="D60" s="20" t="s">
        <v>118</v>
      </c>
      <c r="E60" s="26" t="s">
        <v>35</v>
      </c>
      <c r="F60" s="22" t="s">
        <v>119</v>
      </c>
      <c r="G60" s="23">
        <f t="shared" si="0"/>
        <v>0</v>
      </c>
      <c r="H60" s="23">
        <f>SUM(H61:H62)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19"/>
      <c r="M60" s="24"/>
      <c r="P60" s="25"/>
    </row>
    <row r="61" spans="3:16" s="17" customFormat="1" ht="12.75" hidden="1" customHeight="1">
      <c r="C61" s="18"/>
      <c r="D61" s="28" t="s">
        <v>120</v>
      </c>
      <c r="E61" s="29"/>
      <c r="F61" s="30" t="s">
        <v>119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customHeight="1">
      <c r="C62" s="18"/>
      <c r="D62" s="41"/>
      <c r="E62" s="42" t="s">
        <v>33</v>
      </c>
      <c r="F62" s="43"/>
      <c r="G62" s="43"/>
      <c r="H62" s="43"/>
      <c r="I62" s="43"/>
      <c r="J62" s="43"/>
      <c r="K62" s="44"/>
      <c r="L62" s="19"/>
      <c r="M62" s="24"/>
      <c r="P62" s="25"/>
    </row>
    <row r="63" spans="3:16" s="17" customFormat="1" ht="15" customHeight="1">
      <c r="C63" s="18"/>
      <c r="D63" s="20" t="s">
        <v>121</v>
      </c>
      <c r="E63" s="26" t="s">
        <v>39</v>
      </c>
      <c r="F63" s="22" t="s">
        <v>122</v>
      </c>
      <c r="G63" s="23">
        <f t="shared" si="0"/>
        <v>5.9903138888888883</v>
      </c>
      <c r="H63" s="23">
        <f>SUM(H64:H66)</f>
        <v>0</v>
      </c>
      <c r="I63" s="23">
        <f>SUM(I64:I66)</f>
        <v>5.9903138888888883</v>
      </c>
      <c r="J63" s="23">
        <f>SUM(J64:J66)</f>
        <v>0</v>
      </c>
      <c r="K63" s="23">
        <f>SUM(K64:K66)</f>
        <v>0</v>
      </c>
      <c r="L63" s="19"/>
      <c r="M63" s="24"/>
      <c r="P63" s="25"/>
    </row>
    <row r="64" spans="3:16" s="17" customFormat="1" ht="12.75" hidden="1" customHeight="1">
      <c r="C64" s="18"/>
      <c r="D64" s="28" t="s">
        <v>123</v>
      </c>
      <c r="E64" s="29"/>
      <c r="F64" s="30" t="s">
        <v>122</v>
      </c>
      <c r="G64" s="31"/>
      <c r="H64" s="31"/>
      <c r="I64" s="31"/>
      <c r="J64" s="31"/>
      <c r="K64" s="31"/>
      <c r="L64" s="19"/>
      <c r="M64" s="24"/>
      <c r="P64" s="25"/>
    </row>
    <row r="65" spans="3:16" s="17" customFormat="1" ht="15" customHeight="1">
      <c r="C65" s="32" t="s">
        <v>30</v>
      </c>
      <c r="D65" s="33" t="s">
        <v>124</v>
      </c>
      <c r="E65" s="34" t="s">
        <v>43</v>
      </c>
      <c r="F65" s="35">
        <v>1461</v>
      </c>
      <c r="G65" s="36">
        <f>SUM(H65:K65)</f>
        <v>5.9903138888888883</v>
      </c>
      <c r="H65" s="37"/>
      <c r="I65" s="37">
        <f>I26/720</f>
        <v>5.9903138888888883</v>
      </c>
      <c r="J65" s="37"/>
      <c r="K65" s="38"/>
      <c r="L65" s="19"/>
      <c r="M65" s="39"/>
      <c r="N65" s="40"/>
      <c r="O65" s="40"/>
    </row>
    <row r="66" spans="3:16" s="17" customFormat="1" ht="15" customHeight="1">
      <c r="C66" s="18"/>
      <c r="D66" s="41"/>
      <c r="E66" s="42" t="s">
        <v>33</v>
      </c>
      <c r="F66" s="43"/>
      <c r="G66" s="43"/>
      <c r="H66" s="43"/>
      <c r="I66" s="43"/>
      <c r="J66" s="43"/>
      <c r="K66" s="44"/>
      <c r="L66" s="19"/>
      <c r="M66" s="24"/>
      <c r="P66" s="25"/>
    </row>
    <row r="67" spans="3:16" s="17" customFormat="1" ht="15" customHeight="1">
      <c r="C67" s="18"/>
      <c r="D67" s="20" t="s">
        <v>125</v>
      </c>
      <c r="E67" s="21" t="s">
        <v>45</v>
      </c>
      <c r="F67" s="22" t="s">
        <v>126</v>
      </c>
      <c r="G67" s="23">
        <f t="shared" si="0"/>
        <v>2.4258986111111103</v>
      </c>
      <c r="H67" s="23">
        <f>H69+H70+H71</f>
        <v>0</v>
      </c>
      <c r="I67" s="23">
        <f>I68+I70+I71</f>
        <v>0</v>
      </c>
      <c r="J67" s="23">
        <f>J68+J69+J71</f>
        <v>1.4652569444444441</v>
      </c>
      <c r="K67" s="23">
        <f>K68+K69+K70</f>
        <v>0.96064166666666606</v>
      </c>
      <c r="L67" s="19"/>
      <c r="M67" s="24"/>
      <c r="P67" s="25"/>
    </row>
    <row r="68" spans="3:16" s="17" customFormat="1" ht="15" customHeight="1">
      <c r="C68" s="18"/>
      <c r="D68" s="20" t="s">
        <v>127</v>
      </c>
      <c r="E68" s="26" t="s">
        <v>17</v>
      </c>
      <c r="F68" s="22" t="s">
        <v>128</v>
      </c>
      <c r="G68" s="23">
        <f t="shared" si="0"/>
        <v>0</v>
      </c>
      <c r="H68" s="46"/>
      <c r="I68" s="27"/>
      <c r="J68" s="27"/>
      <c r="K68" s="27"/>
      <c r="L68" s="19"/>
      <c r="M68" s="24"/>
      <c r="P68" s="25"/>
    </row>
    <row r="69" spans="3:16" s="17" customFormat="1" ht="15" customHeight="1">
      <c r="C69" s="18"/>
      <c r="D69" s="20" t="s">
        <v>129</v>
      </c>
      <c r="E69" s="26" t="s">
        <v>18</v>
      </c>
      <c r="F69" s="22" t="s">
        <v>130</v>
      </c>
      <c r="G69" s="23">
        <f t="shared" si="0"/>
        <v>1.4652569444444441</v>
      </c>
      <c r="H69" s="27"/>
      <c r="I69" s="53"/>
      <c r="J69" s="27">
        <f>J30/720</f>
        <v>1.4652569444444441</v>
      </c>
      <c r="K69" s="27"/>
      <c r="L69" s="19"/>
      <c r="M69" s="24"/>
      <c r="P69" s="25"/>
    </row>
    <row r="70" spans="3:16" s="17" customFormat="1" ht="15" customHeight="1">
      <c r="C70" s="18"/>
      <c r="D70" s="20" t="s">
        <v>131</v>
      </c>
      <c r="E70" s="26" t="s">
        <v>19</v>
      </c>
      <c r="F70" s="22" t="s">
        <v>132</v>
      </c>
      <c r="G70" s="23">
        <f t="shared" si="0"/>
        <v>0.96064166666666606</v>
      </c>
      <c r="H70" s="27"/>
      <c r="I70" s="27"/>
      <c r="J70" s="46"/>
      <c r="K70" s="27">
        <f>K31/720</f>
        <v>0.96064166666666606</v>
      </c>
      <c r="L70" s="19"/>
      <c r="M70" s="24"/>
      <c r="P70" s="25"/>
    </row>
    <row r="71" spans="3:16" s="17" customFormat="1" ht="15" customHeight="1">
      <c r="C71" s="18"/>
      <c r="D71" s="20" t="s">
        <v>133</v>
      </c>
      <c r="E71" s="26" t="s">
        <v>54</v>
      </c>
      <c r="F71" s="22" t="s">
        <v>134</v>
      </c>
      <c r="G71" s="23">
        <f t="shared" si="0"/>
        <v>0</v>
      </c>
      <c r="H71" s="27"/>
      <c r="I71" s="27"/>
      <c r="J71" s="27"/>
      <c r="K71" s="46"/>
      <c r="L71" s="19"/>
      <c r="M71" s="24"/>
      <c r="P71" s="25"/>
    </row>
    <row r="72" spans="3:16" s="17" customFormat="1" ht="15" customHeight="1">
      <c r="C72" s="18"/>
      <c r="D72" s="20" t="s">
        <v>135</v>
      </c>
      <c r="E72" s="47" t="s">
        <v>57</v>
      </c>
      <c r="F72" s="22" t="s">
        <v>136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137</v>
      </c>
      <c r="E73" s="21" t="s">
        <v>60</v>
      </c>
      <c r="F73" s="48" t="s">
        <v>138</v>
      </c>
      <c r="G73" s="23">
        <f t="shared" si="0"/>
        <v>5.792472222222222</v>
      </c>
      <c r="H73" s="23">
        <f>H74+H76+H79+H83</f>
        <v>0</v>
      </c>
      <c r="I73" s="23">
        <f>I74+I76+I79+I83</f>
        <v>4.4800041666666663</v>
      </c>
      <c r="J73" s="23">
        <f>J74+J76+J79+J83</f>
        <v>0.46070277777777779</v>
      </c>
      <c r="K73" s="23">
        <f>K74+K76+K79+K83</f>
        <v>0.85176527777777777</v>
      </c>
      <c r="L73" s="19"/>
      <c r="M73" s="24"/>
      <c r="P73" s="25"/>
    </row>
    <row r="74" spans="3:16" s="17" customFormat="1" ht="22.5">
      <c r="C74" s="18"/>
      <c r="D74" s="20" t="s">
        <v>139</v>
      </c>
      <c r="E74" s="26" t="s">
        <v>63</v>
      </c>
      <c r="F74" s="22" t="s">
        <v>140</v>
      </c>
      <c r="G74" s="23">
        <f t="shared" si="0"/>
        <v>0</v>
      </c>
      <c r="H74" s="27"/>
      <c r="I74" s="27"/>
      <c r="J74" s="27"/>
      <c r="K74" s="27"/>
      <c r="L74" s="19"/>
      <c r="M74" s="24"/>
      <c r="P74" s="25"/>
    </row>
    <row r="75" spans="3:16" s="17" customFormat="1" ht="15" customHeight="1">
      <c r="C75" s="18"/>
      <c r="D75" s="20" t="s">
        <v>141</v>
      </c>
      <c r="E75" s="49" t="s">
        <v>66</v>
      </c>
      <c r="F75" s="22" t="s">
        <v>142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143</v>
      </c>
      <c r="E76" s="26" t="s">
        <v>69</v>
      </c>
      <c r="F76" s="22" t="s">
        <v>144</v>
      </c>
      <c r="G76" s="23">
        <f t="shared" si="0"/>
        <v>2.3923277777777781</v>
      </c>
      <c r="H76" s="27"/>
      <c r="I76" s="27">
        <f>I37/720</f>
        <v>1.0798597222222222</v>
      </c>
      <c r="J76" s="27">
        <f>J37/720</f>
        <v>0.46070277777777779</v>
      </c>
      <c r="K76" s="27">
        <f>K37/720</f>
        <v>0.85176527777777777</v>
      </c>
      <c r="L76" s="19"/>
      <c r="M76" s="24"/>
      <c r="P76" s="25"/>
    </row>
    <row r="77" spans="3:16" s="17" customFormat="1" ht="15" customHeight="1">
      <c r="C77" s="18"/>
      <c r="D77" s="20" t="s">
        <v>145</v>
      </c>
      <c r="E77" s="49" t="s">
        <v>72</v>
      </c>
      <c r="F77" s="22" t="s">
        <v>146</v>
      </c>
      <c r="G77" s="23">
        <f t="shared" si="0"/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>
      <c r="C78" s="18"/>
      <c r="D78" s="20" t="s">
        <v>147</v>
      </c>
      <c r="E78" s="50" t="s">
        <v>66</v>
      </c>
      <c r="F78" s="22" t="s">
        <v>148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>
      <c r="C79" s="18"/>
      <c r="D79" s="20" t="s">
        <v>149</v>
      </c>
      <c r="E79" s="26" t="s">
        <v>77</v>
      </c>
      <c r="F79" s="22" t="s">
        <v>150</v>
      </c>
      <c r="G79" s="23">
        <f t="shared" si="0"/>
        <v>3.400144444444444</v>
      </c>
      <c r="H79" s="23">
        <f>SUM(H80:H82)</f>
        <v>0</v>
      </c>
      <c r="I79" s="23">
        <f>SUM(I80:I82)</f>
        <v>3.400144444444444</v>
      </c>
      <c r="J79" s="23">
        <f>SUM(J80:J82)</f>
        <v>0</v>
      </c>
      <c r="K79" s="23">
        <f>SUM(K80:K82)</f>
        <v>0</v>
      </c>
      <c r="L79" s="19"/>
      <c r="M79" s="24"/>
      <c r="P79" s="25"/>
    </row>
    <row r="80" spans="3:16" s="17" customFormat="1" ht="12.75" hidden="1" customHeight="1">
      <c r="C80" s="18"/>
      <c r="D80" s="28" t="s">
        <v>151</v>
      </c>
      <c r="E80" s="29"/>
      <c r="F80" s="30" t="s">
        <v>150</v>
      </c>
      <c r="G80" s="31"/>
      <c r="H80" s="31"/>
      <c r="I80" s="31"/>
      <c r="J80" s="31"/>
      <c r="K80" s="31"/>
      <c r="L80" s="19"/>
      <c r="M80" s="24"/>
      <c r="P80" s="25"/>
    </row>
    <row r="81" spans="3:16" s="17" customFormat="1" ht="15" customHeight="1">
      <c r="C81" s="32" t="s">
        <v>30</v>
      </c>
      <c r="D81" s="33" t="s">
        <v>152</v>
      </c>
      <c r="E81" s="34" t="s">
        <v>81</v>
      </c>
      <c r="F81" s="35">
        <v>1781</v>
      </c>
      <c r="G81" s="36">
        <f>SUM(H81:K81)</f>
        <v>3.400144444444444</v>
      </c>
      <c r="H81" s="37"/>
      <c r="I81" s="37">
        <f>I42/720</f>
        <v>3.400144444444444</v>
      </c>
      <c r="J81" s="37"/>
      <c r="K81" s="38"/>
      <c r="L81" s="19"/>
      <c r="M81" s="39"/>
      <c r="N81" s="40"/>
      <c r="O81" s="40"/>
    </row>
    <row r="82" spans="3:16" s="17" customFormat="1" ht="15" customHeight="1">
      <c r="C82" s="18"/>
      <c r="D82" s="41"/>
      <c r="E82" s="42" t="s">
        <v>33</v>
      </c>
      <c r="F82" s="43"/>
      <c r="G82" s="43"/>
      <c r="H82" s="43"/>
      <c r="I82" s="43"/>
      <c r="J82" s="43"/>
      <c r="K82" s="44"/>
      <c r="L82" s="19"/>
      <c r="M82" s="24"/>
      <c r="P82" s="25"/>
    </row>
    <row r="83" spans="3:16" s="17" customFormat="1" ht="15" customHeight="1">
      <c r="C83" s="18"/>
      <c r="D83" s="20" t="s">
        <v>153</v>
      </c>
      <c r="E83" s="52" t="s">
        <v>83</v>
      </c>
      <c r="F83" s="22" t="s">
        <v>154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>
      <c r="C84" s="18"/>
      <c r="D84" s="20" t="s">
        <v>155</v>
      </c>
      <c r="E84" s="21" t="s">
        <v>86</v>
      </c>
      <c r="F84" s="22" t="s">
        <v>156</v>
      </c>
      <c r="G84" s="23">
        <f t="shared" si="0"/>
        <v>2.4258986111111103</v>
      </c>
      <c r="H84" s="27"/>
      <c r="I84" s="27">
        <f>I45/720</f>
        <v>1.4652569444444441</v>
      </c>
      <c r="J84" s="27">
        <f>J45/720</f>
        <v>0.96064166666666606</v>
      </c>
      <c r="K84" s="27"/>
      <c r="L84" s="19"/>
      <c r="M84" s="24"/>
      <c r="P84" s="25"/>
    </row>
    <row r="85" spans="3:16" s="17" customFormat="1" ht="15" customHeight="1">
      <c r="C85" s="18"/>
      <c r="D85" s="20" t="s">
        <v>157</v>
      </c>
      <c r="E85" s="21" t="s">
        <v>89</v>
      </c>
      <c r="F85" s="22" t="s">
        <v>158</v>
      </c>
      <c r="G85" s="23">
        <f t="shared" si="0"/>
        <v>0</v>
      </c>
      <c r="H85" s="27"/>
      <c r="I85" s="27"/>
      <c r="J85" s="27"/>
      <c r="K85" s="27"/>
      <c r="L85" s="19"/>
      <c r="M85" s="24"/>
      <c r="P85" s="25"/>
    </row>
    <row r="86" spans="3:16" s="17" customFormat="1" ht="15" customHeight="1">
      <c r="C86" s="18"/>
      <c r="D86" s="20" t="s">
        <v>159</v>
      </c>
      <c r="E86" s="21" t="s">
        <v>92</v>
      </c>
      <c r="F86" s="22" t="s">
        <v>160</v>
      </c>
      <c r="G86" s="23">
        <f t="shared" si="0"/>
        <v>0</v>
      </c>
      <c r="H86" s="27"/>
      <c r="I86" s="27"/>
      <c r="J86" s="27"/>
      <c r="K86" s="27"/>
      <c r="L86" s="19"/>
      <c r="M86" s="24"/>
      <c r="P86" s="25"/>
    </row>
    <row r="87" spans="3:16" s="17" customFormat="1" ht="15" customHeight="1">
      <c r="C87" s="18"/>
      <c r="D87" s="20" t="s">
        <v>161</v>
      </c>
      <c r="E87" s="21" t="s">
        <v>95</v>
      </c>
      <c r="F87" s="22" t="s">
        <v>162</v>
      </c>
      <c r="G87" s="23">
        <f t="shared" si="0"/>
        <v>0.19981111111111111</v>
      </c>
      <c r="H87" s="27"/>
      <c r="I87" s="27">
        <f>I48/720</f>
        <v>4.5052777777777782E-2</v>
      </c>
      <c r="J87" s="27">
        <f>J48/720</f>
        <v>4.588194444444444E-2</v>
      </c>
      <c r="K87" s="27">
        <f>K48/720</f>
        <v>0.1088763888888889</v>
      </c>
      <c r="L87" s="19"/>
      <c r="M87" s="24"/>
      <c r="P87" s="25"/>
    </row>
    <row r="88" spans="3:16" s="17" customFormat="1" ht="15" customHeight="1">
      <c r="C88" s="18"/>
      <c r="D88" s="20" t="s">
        <v>163</v>
      </c>
      <c r="E88" s="26" t="s">
        <v>164</v>
      </c>
      <c r="F88" s="22" t="s">
        <v>165</v>
      </c>
      <c r="G88" s="23">
        <f t="shared" si="0"/>
        <v>0</v>
      </c>
      <c r="H88" s="27"/>
      <c r="I88" s="27"/>
      <c r="J88" s="27"/>
      <c r="K88" s="27"/>
      <c r="L88" s="19"/>
      <c r="M88" s="24"/>
      <c r="P88" s="25"/>
    </row>
    <row r="89" spans="3:16" s="17" customFormat="1" ht="15" customHeight="1">
      <c r="C89" s="18"/>
      <c r="D89" s="20" t="s">
        <v>166</v>
      </c>
      <c r="E89" s="21" t="s">
        <v>101</v>
      </c>
      <c r="F89" s="22" t="s">
        <v>167</v>
      </c>
      <c r="G89" s="23">
        <f t="shared" si="0"/>
        <v>0.35555555555555551</v>
      </c>
      <c r="H89" s="27"/>
      <c r="I89" s="27">
        <f>I50/720</f>
        <v>6.0220638651454987E-2</v>
      </c>
      <c r="J89" s="27">
        <f>J50/720</f>
        <v>0.13918304477206161</v>
      </c>
      <c r="K89" s="27">
        <f>K50/720</f>
        <v>0.15615187213203893</v>
      </c>
      <c r="L89" s="19"/>
      <c r="M89" s="24"/>
      <c r="P89" s="25"/>
    </row>
    <row r="90" spans="3:16" s="17" customFormat="1" ht="33.75">
      <c r="C90" s="18"/>
      <c r="D90" s="20" t="s">
        <v>168</v>
      </c>
      <c r="E90" s="47" t="s">
        <v>104</v>
      </c>
      <c r="F90" s="22" t="s">
        <v>169</v>
      </c>
      <c r="G90" s="23">
        <f t="shared" si="0"/>
        <v>-0.15574444444444441</v>
      </c>
      <c r="H90" s="23">
        <f>H87-H89</f>
        <v>0</v>
      </c>
      <c r="I90" s="23">
        <f>I87-I89</f>
        <v>-1.5167860873677205E-2</v>
      </c>
      <c r="J90" s="23">
        <f>J87-J89</f>
        <v>-9.3301100327617181E-2</v>
      </c>
      <c r="K90" s="23">
        <f>K87-K89</f>
        <v>-4.7275483243150035E-2</v>
      </c>
      <c r="L90" s="19"/>
      <c r="M90" s="24"/>
      <c r="P90" s="25"/>
    </row>
    <row r="91" spans="3:16" s="17" customFormat="1" ht="15" customHeight="1">
      <c r="C91" s="18"/>
      <c r="D91" s="20" t="s">
        <v>170</v>
      </c>
      <c r="E91" s="21" t="s">
        <v>107</v>
      </c>
      <c r="F91" s="22" t="s">
        <v>171</v>
      </c>
      <c r="G91" s="23">
        <f t="shared" si="0"/>
        <v>0</v>
      </c>
      <c r="H91" s="23">
        <f>(H54+H67+H72)-(H73+H84+H85+H86+H87)</f>
        <v>0</v>
      </c>
      <c r="I91" s="23">
        <f>(I54+I67+I72)-(I73+I84+I85+I86+I87)</f>
        <v>0</v>
      </c>
      <c r="J91" s="23">
        <f>(J54+J67+J72)-(J73+J84+J85+J86+J87)</f>
        <v>0</v>
      </c>
      <c r="K91" s="23">
        <f>(K54+K67+K72)-(K73+K84+K85+K86+K87)</f>
        <v>0</v>
      </c>
      <c r="L91" s="19"/>
      <c r="M91" s="24"/>
      <c r="P91" s="25"/>
    </row>
    <row r="92" spans="3:16" s="17" customFormat="1" ht="15" customHeight="1">
      <c r="C92" s="18"/>
      <c r="D92" s="83" t="s">
        <v>172</v>
      </c>
      <c r="E92" s="84"/>
      <c r="F92" s="84"/>
      <c r="G92" s="84"/>
      <c r="H92" s="84"/>
      <c r="I92" s="84"/>
      <c r="J92" s="84"/>
      <c r="K92" s="85"/>
      <c r="L92" s="19"/>
      <c r="M92" s="24"/>
      <c r="P92" s="45"/>
    </row>
    <row r="93" spans="3:16" s="17" customFormat="1" ht="15" customHeight="1">
      <c r="C93" s="18"/>
      <c r="D93" s="20" t="s">
        <v>173</v>
      </c>
      <c r="E93" s="21" t="s">
        <v>174</v>
      </c>
      <c r="F93" s="22" t="s">
        <v>175</v>
      </c>
      <c r="G93" s="23">
        <f t="shared" si="0"/>
        <v>0</v>
      </c>
      <c r="H93" s="27"/>
      <c r="I93" s="27"/>
      <c r="J93" s="27"/>
      <c r="K93" s="27"/>
      <c r="L93" s="19"/>
      <c r="M93" s="24"/>
      <c r="P93" s="25"/>
    </row>
    <row r="94" spans="3:16" s="17" customFormat="1" ht="15" customHeight="1">
      <c r="C94" s="18"/>
      <c r="D94" s="20" t="s">
        <v>176</v>
      </c>
      <c r="E94" s="21" t="s">
        <v>177</v>
      </c>
      <c r="F94" s="22" t="s">
        <v>178</v>
      </c>
      <c r="G94" s="23">
        <f t="shared" si="0"/>
        <v>10.55</v>
      </c>
      <c r="H94" s="27"/>
      <c r="I94" s="27">
        <v>10.55</v>
      </c>
      <c r="J94" s="27"/>
      <c r="K94" s="27"/>
      <c r="L94" s="19"/>
      <c r="M94" s="24"/>
      <c r="P94" s="25"/>
    </row>
    <row r="95" spans="3:16" s="17" customFormat="1" ht="15" customHeight="1">
      <c r="C95" s="18"/>
      <c r="D95" s="20" t="s">
        <v>179</v>
      </c>
      <c r="E95" s="21" t="s">
        <v>180</v>
      </c>
      <c r="F95" s="22" t="s">
        <v>181</v>
      </c>
      <c r="G95" s="23">
        <f t="shared" si="0"/>
        <v>0</v>
      </c>
      <c r="H95" s="27"/>
      <c r="I95" s="27"/>
      <c r="J95" s="27"/>
      <c r="K95" s="27"/>
      <c r="L95" s="19"/>
      <c r="M95" s="24"/>
      <c r="P95" s="25"/>
    </row>
    <row r="96" spans="3:16" s="17" customFormat="1" ht="15" customHeight="1">
      <c r="C96" s="18"/>
      <c r="D96" s="83" t="s">
        <v>182</v>
      </c>
      <c r="E96" s="84"/>
      <c r="F96" s="84"/>
      <c r="G96" s="84"/>
      <c r="H96" s="84"/>
      <c r="I96" s="84"/>
      <c r="J96" s="84"/>
      <c r="K96" s="85"/>
      <c r="L96" s="19"/>
      <c r="M96" s="24"/>
      <c r="P96" s="45"/>
    </row>
    <row r="97" spans="3:16" s="17" customFormat="1" ht="15" customHeight="1">
      <c r="C97" s="18"/>
      <c r="D97" s="20" t="s">
        <v>183</v>
      </c>
      <c r="E97" s="21" t="s">
        <v>184</v>
      </c>
      <c r="F97" s="22" t="s">
        <v>185</v>
      </c>
      <c r="G97" s="23">
        <f t="shared" si="0"/>
        <v>0</v>
      </c>
      <c r="H97" s="23">
        <f>SUM(H98:H99)</f>
        <v>0</v>
      </c>
      <c r="I97" s="23">
        <f>SUM(I98:I99)</f>
        <v>0</v>
      </c>
      <c r="J97" s="23">
        <f>SUM(J98:J99)</f>
        <v>0</v>
      </c>
      <c r="K97" s="23">
        <f>SUM(K98:K99)</f>
        <v>0</v>
      </c>
      <c r="L97" s="19"/>
      <c r="M97" s="24"/>
      <c r="P97" s="25"/>
    </row>
    <row r="98" spans="3:16" ht="15" customHeight="1">
      <c r="C98" s="6"/>
      <c r="D98" s="54" t="s">
        <v>186</v>
      </c>
      <c r="E98" s="26" t="s">
        <v>187</v>
      </c>
      <c r="F98" s="22" t="s">
        <v>188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/>
    </row>
    <row r="99" spans="3:16" ht="15" customHeight="1">
      <c r="C99" s="6"/>
      <c r="D99" s="54" t="s">
        <v>189</v>
      </c>
      <c r="E99" s="26" t="s">
        <v>190</v>
      </c>
      <c r="F99" s="22" t="s">
        <v>191</v>
      </c>
      <c r="G99" s="23">
        <f t="shared" si="0"/>
        <v>0</v>
      </c>
      <c r="H99" s="56">
        <f>H102</f>
        <v>0</v>
      </c>
      <c r="I99" s="56">
        <f>I102</f>
        <v>0</v>
      </c>
      <c r="J99" s="56">
        <f>J102</f>
        <v>0</v>
      </c>
      <c r="K99" s="56">
        <f>K102</f>
        <v>0</v>
      </c>
      <c r="L99" s="13"/>
      <c r="M99" s="24"/>
      <c r="P99" s="25"/>
    </row>
    <row r="100" spans="3:16" ht="15" customHeight="1">
      <c r="C100" s="6"/>
      <c r="D100" s="54" t="s">
        <v>192</v>
      </c>
      <c r="E100" s="49" t="s">
        <v>193</v>
      </c>
      <c r="F100" s="22" t="s">
        <v>194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/>
    </row>
    <row r="101" spans="3:16" ht="15" customHeight="1">
      <c r="C101" s="6"/>
      <c r="D101" s="54" t="s">
        <v>195</v>
      </c>
      <c r="E101" s="50" t="s">
        <v>196</v>
      </c>
      <c r="F101" s="22" t="s">
        <v>197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5" customHeight="1">
      <c r="C102" s="6"/>
      <c r="D102" s="54" t="s">
        <v>198</v>
      </c>
      <c r="E102" s="49" t="s">
        <v>199</v>
      </c>
      <c r="F102" s="22" t="s">
        <v>200</v>
      </c>
      <c r="G102" s="23">
        <f t="shared" si="0"/>
        <v>0</v>
      </c>
      <c r="H102" s="55"/>
      <c r="I102" s="55"/>
      <c r="J102" s="55"/>
      <c r="K102" s="55"/>
      <c r="L102" s="13"/>
      <c r="M102" s="24"/>
      <c r="P102" s="25"/>
    </row>
    <row r="103" spans="3:16" ht="15" customHeight="1">
      <c r="C103" s="6"/>
      <c r="D103" s="54" t="s">
        <v>201</v>
      </c>
      <c r="E103" s="21" t="s">
        <v>202</v>
      </c>
      <c r="F103" s="22" t="s">
        <v>203</v>
      </c>
      <c r="G103" s="23">
        <f t="shared" si="0"/>
        <v>0</v>
      </c>
      <c r="H103" s="56">
        <f>H104+H120</f>
        <v>0</v>
      </c>
      <c r="I103" s="56">
        <f>I104+I120</f>
        <v>0</v>
      </c>
      <c r="J103" s="56">
        <f>J104+J120</f>
        <v>0</v>
      </c>
      <c r="K103" s="56">
        <f>K104+K120</f>
        <v>0</v>
      </c>
      <c r="L103" s="13"/>
      <c r="M103" s="24"/>
      <c r="P103" s="25"/>
    </row>
    <row r="104" spans="3:16" ht="15" customHeight="1">
      <c r="C104" s="6"/>
      <c r="D104" s="54" t="s">
        <v>204</v>
      </c>
      <c r="E104" s="26" t="s">
        <v>205</v>
      </c>
      <c r="F104" s="22" t="s">
        <v>206</v>
      </c>
      <c r="G104" s="23">
        <f t="shared" si="0"/>
        <v>0</v>
      </c>
      <c r="H104" s="56">
        <f>H105+H106</f>
        <v>0</v>
      </c>
      <c r="I104" s="56">
        <f>I105+I106</f>
        <v>0</v>
      </c>
      <c r="J104" s="56">
        <f>J105+J106</f>
        <v>0</v>
      </c>
      <c r="K104" s="56">
        <f>K105+K106</f>
        <v>0</v>
      </c>
      <c r="L104" s="13"/>
      <c r="M104" s="24"/>
      <c r="P104" s="25"/>
    </row>
    <row r="105" spans="3:16" ht="15" customHeight="1">
      <c r="C105" s="6"/>
      <c r="D105" s="54" t="s">
        <v>207</v>
      </c>
      <c r="E105" s="49" t="s">
        <v>208</v>
      </c>
      <c r="F105" s="22" t="s">
        <v>209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15" customHeight="1">
      <c r="C106" s="6"/>
      <c r="D106" s="54" t="s">
        <v>210</v>
      </c>
      <c r="E106" s="49" t="s">
        <v>211</v>
      </c>
      <c r="F106" s="22" t="s">
        <v>212</v>
      </c>
      <c r="G106" s="23">
        <f t="shared" si="0"/>
        <v>0</v>
      </c>
      <c r="H106" s="56">
        <f>H107+H110+H113+H116+H117+H118+H119</f>
        <v>0</v>
      </c>
      <c r="I106" s="56">
        <f>I107+I110+I113+I116+I117+I118+I119</f>
        <v>0</v>
      </c>
      <c r="J106" s="56">
        <f>J107+J110+J113+J116+J117+J118+J119</f>
        <v>0</v>
      </c>
      <c r="K106" s="56">
        <f>K107+K110+K113+K116+K117+K118+K119</f>
        <v>0</v>
      </c>
      <c r="L106" s="13"/>
      <c r="M106" s="24"/>
      <c r="P106" s="25"/>
    </row>
    <row r="107" spans="3:16" ht="45">
      <c r="C107" s="6"/>
      <c r="D107" s="54" t="s">
        <v>213</v>
      </c>
      <c r="E107" s="50" t="s">
        <v>214</v>
      </c>
      <c r="F107" s="22" t="s">
        <v>215</v>
      </c>
      <c r="G107" s="23">
        <f t="shared" si="0"/>
        <v>0</v>
      </c>
      <c r="H107" s="57">
        <f>H108+H109</f>
        <v>0</v>
      </c>
      <c r="I107" s="57">
        <f>I108+I109</f>
        <v>0</v>
      </c>
      <c r="J107" s="57">
        <f>J108+J109</f>
        <v>0</v>
      </c>
      <c r="K107" s="57">
        <f>K108+K109</f>
        <v>0</v>
      </c>
      <c r="L107" s="13"/>
      <c r="M107" s="24"/>
      <c r="P107" s="25"/>
    </row>
    <row r="108" spans="3:16" ht="15" customHeight="1">
      <c r="C108" s="6"/>
      <c r="D108" s="54" t="s">
        <v>216</v>
      </c>
      <c r="E108" s="58" t="s">
        <v>217</v>
      </c>
      <c r="F108" s="22" t="s">
        <v>218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15" customHeight="1">
      <c r="C109" s="6"/>
      <c r="D109" s="54" t="s">
        <v>219</v>
      </c>
      <c r="E109" s="58" t="s">
        <v>220</v>
      </c>
      <c r="F109" s="22" t="s">
        <v>221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45">
      <c r="C110" s="6"/>
      <c r="D110" s="54" t="s">
        <v>222</v>
      </c>
      <c r="E110" s="50" t="s">
        <v>223</v>
      </c>
      <c r="F110" s="22" t="s">
        <v>224</v>
      </c>
      <c r="G110" s="23">
        <f t="shared" si="0"/>
        <v>0</v>
      </c>
      <c r="H110" s="57">
        <f>H111+H112</f>
        <v>0</v>
      </c>
      <c r="I110" s="57">
        <f>I111+I112</f>
        <v>0</v>
      </c>
      <c r="J110" s="57">
        <f>J111+J112</f>
        <v>0</v>
      </c>
      <c r="K110" s="57">
        <f>K111+K112</f>
        <v>0</v>
      </c>
      <c r="L110" s="13"/>
      <c r="M110" s="24"/>
      <c r="P110" s="25"/>
    </row>
    <row r="111" spans="3:16" ht="15" customHeight="1">
      <c r="C111" s="6"/>
      <c r="D111" s="54" t="s">
        <v>225</v>
      </c>
      <c r="E111" s="58" t="s">
        <v>217</v>
      </c>
      <c r="F111" s="22" t="s">
        <v>226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>
      <c r="C112" s="6"/>
      <c r="D112" s="54" t="s">
        <v>227</v>
      </c>
      <c r="E112" s="58" t="s">
        <v>220</v>
      </c>
      <c r="F112" s="22" t="s">
        <v>228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229</v>
      </c>
      <c r="E113" s="50" t="s">
        <v>230</v>
      </c>
      <c r="F113" s="22" t="s">
        <v>231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>
      <c r="C114" s="6"/>
      <c r="D114" s="54" t="s">
        <v>232</v>
      </c>
      <c r="E114" s="58" t="s">
        <v>217</v>
      </c>
      <c r="F114" s="22" t="s">
        <v>233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234</v>
      </c>
      <c r="E115" s="58" t="s">
        <v>220</v>
      </c>
      <c r="F115" s="22" t="s">
        <v>235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5" customHeight="1">
      <c r="C116" s="6"/>
      <c r="D116" s="54" t="s">
        <v>236</v>
      </c>
      <c r="E116" s="50" t="s">
        <v>237</v>
      </c>
      <c r="F116" s="22" t="s">
        <v>238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5" customHeight="1">
      <c r="C117" s="6"/>
      <c r="D117" s="54" t="s">
        <v>239</v>
      </c>
      <c r="E117" s="50" t="s">
        <v>240</v>
      </c>
      <c r="F117" s="22" t="s">
        <v>241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9.5" customHeight="1">
      <c r="C118" s="6"/>
      <c r="D118" s="54" t="s">
        <v>242</v>
      </c>
      <c r="E118" s="50" t="s">
        <v>243</v>
      </c>
      <c r="F118" s="22" t="s">
        <v>244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3.5" customHeight="1">
      <c r="C119" s="6"/>
      <c r="D119" s="54" t="s">
        <v>245</v>
      </c>
      <c r="E119" s="50" t="s">
        <v>246</v>
      </c>
      <c r="F119" s="22" t="s">
        <v>247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248</v>
      </c>
      <c r="E120" s="26" t="s">
        <v>249</v>
      </c>
      <c r="F120" s="22" t="s">
        <v>250</v>
      </c>
      <c r="G120" s="23">
        <f t="shared" si="0"/>
        <v>0</v>
      </c>
      <c r="H120" s="56">
        <f>H123</f>
        <v>0</v>
      </c>
      <c r="I120" s="56">
        <f>I123</f>
        <v>0</v>
      </c>
      <c r="J120" s="56">
        <f>J123</f>
        <v>0</v>
      </c>
      <c r="K120" s="56">
        <f>K123</f>
        <v>0</v>
      </c>
      <c r="L120" s="13"/>
      <c r="M120" s="24"/>
      <c r="P120" s="25"/>
    </row>
    <row r="121" spans="3:16" ht="15" customHeight="1">
      <c r="C121" s="6"/>
      <c r="D121" s="54" t="s">
        <v>251</v>
      </c>
      <c r="E121" s="49" t="s">
        <v>193</v>
      </c>
      <c r="F121" s="22" t="s">
        <v>252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5" customHeight="1">
      <c r="C122" s="6"/>
      <c r="D122" s="54" t="s">
        <v>253</v>
      </c>
      <c r="E122" s="50" t="s">
        <v>254</v>
      </c>
      <c r="F122" s="22" t="s">
        <v>255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>
      <c r="C123" s="6"/>
      <c r="D123" s="54" t="s">
        <v>256</v>
      </c>
      <c r="E123" s="49" t="s">
        <v>199</v>
      </c>
      <c r="F123" s="22" t="s">
        <v>257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27" customHeight="1">
      <c r="C124" s="6"/>
      <c r="D124" s="54" t="s">
        <v>258</v>
      </c>
      <c r="E124" s="47" t="s">
        <v>259</v>
      </c>
      <c r="F124" s="22" t="s">
        <v>260</v>
      </c>
      <c r="G124" s="23">
        <f t="shared" si="0"/>
        <v>4170.58</v>
      </c>
      <c r="H124" s="56">
        <f>SUM(H125:H126)</f>
        <v>0</v>
      </c>
      <c r="I124" s="56">
        <f>SUM(I125:I126)</f>
        <v>3225.6030000000001</v>
      </c>
      <c r="J124" s="56">
        <f>SUM(J125:J126)</f>
        <v>331.70600000000002</v>
      </c>
      <c r="K124" s="56">
        <f>SUM(K125:K126)</f>
        <v>613.27099999999996</v>
      </c>
      <c r="L124" s="13"/>
      <c r="M124" s="24"/>
      <c r="P124" s="25"/>
    </row>
    <row r="125" spans="3:16" ht="15" customHeight="1">
      <c r="C125" s="6"/>
      <c r="D125" s="54" t="s">
        <v>261</v>
      </c>
      <c r="E125" s="26" t="s">
        <v>187</v>
      </c>
      <c r="F125" s="22" t="s">
        <v>262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>
      <c r="C126" s="6"/>
      <c r="D126" s="54" t="s">
        <v>263</v>
      </c>
      <c r="E126" s="26" t="s">
        <v>190</v>
      </c>
      <c r="F126" s="22" t="s">
        <v>264</v>
      </c>
      <c r="G126" s="23">
        <f t="shared" si="0"/>
        <v>4170.58</v>
      </c>
      <c r="H126" s="56">
        <f>H128</f>
        <v>0</v>
      </c>
      <c r="I126" s="56">
        <f>I128</f>
        <v>3225.6030000000001</v>
      </c>
      <c r="J126" s="56">
        <f>J128</f>
        <v>331.70600000000002</v>
      </c>
      <c r="K126" s="56">
        <f>K128</f>
        <v>613.27099999999996</v>
      </c>
      <c r="L126" s="13"/>
      <c r="M126" s="24"/>
      <c r="P126" s="25"/>
    </row>
    <row r="127" spans="3:16" ht="15" customHeight="1">
      <c r="C127" s="6"/>
      <c r="D127" s="54" t="s">
        <v>265</v>
      </c>
      <c r="E127" s="49" t="s">
        <v>266</v>
      </c>
      <c r="F127" s="22" t="s">
        <v>267</v>
      </c>
      <c r="G127" s="23">
        <f t="shared" si="0"/>
        <v>10.55</v>
      </c>
      <c r="H127" s="55"/>
      <c r="I127" s="55">
        <v>10.55</v>
      </c>
      <c r="J127" s="55"/>
      <c r="K127" s="55"/>
      <c r="L127" s="13"/>
      <c r="M127" s="24"/>
      <c r="P127" s="25"/>
    </row>
    <row r="128" spans="3:16" ht="15" customHeight="1">
      <c r="C128" s="6"/>
      <c r="D128" s="54" t="s">
        <v>268</v>
      </c>
      <c r="E128" s="49" t="s">
        <v>199</v>
      </c>
      <c r="F128" s="22" t="s">
        <v>269</v>
      </c>
      <c r="G128" s="23">
        <f t="shared" si="0"/>
        <v>4170.58</v>
      </c>
      <c r="H128" s="55"/>
      <c r="I128" s="55">
        <f>I34</f>
        <v>3225.6030000000001</v>
      </c>
      <c r="J128" s="55">
        <f>J34</f>
        <v>331.70600000000002</v>
      </c>
      <c r="K128" s="55">
        <f>K34</f>
        <v>613.27099999999996</v>
      </c>
      <c r="L128" s="13"/>
      <c r="M128" s="24"/>
      <c r="P128" s="25"/>
    </row>
    <row r="129" spans="3:16" ht="15" customHeight="1">
      <c r="C129" s="6"/>
      <c r="D129" s="83" t="s">
        <v>270</v>
      </c>
      <c r="E129" s="84"/>
      <c r="F129" s="84"/>
      <c r="G129" s="84"/>
      <c r="H129" s="84"/>
      <c r="I129" s="84"/>
      <c r="J129" s="84"/>
      <c r="K129" s="85"/>
      <c r="L129" s="13"/>
      <c r="M129" s="24"/>
      <c r="P129" s="59"/>
    </row>
    <row r="130" spans="3:16" ht="22.5">
      <c r="C130" s="6"/>
      <c r="D130" s="54" t="s">
        <v>271</v>
      </c>
      <c r="E130" s="21" t="s">
        <v>272</v>
      </c>
      <c r="F130" s="22" t="s">
        <v>273</v>
      </c>
      <c r="G130" s="23">
        <f t="shared" si="0"/>
        <v>0</v>
      </c>
      <c r="H130" s="56">
        <f>SUM( H131:H132)</f>
        <v>0</v>
      </c>
      <c r="I130" s="56">
        <f>SUM( I131:I132)</f>
        <v>0</v>
      </c>
      <c r="J130" s="56">
        <f>SUM( J131:J132)</f>
        <v>0</v>
      </c>
      <c r="K130" s="56">
        <f>SUM( K131:K132)</f>
        <v>0</v>
      </c>
      <c r="L130" s="13"/>
      <c r="M130" s="24"/>
      <c r="P130" s="25"/>
    </row>
    <row r="131" spans="3:16" ht="15" customHeight="1">
      <c r="C131" s="6"/>
      <c r="D131" s="54" t="s">
        <v>274</v>
      </c>
      <c r="E131" s="26" t="s">
        <v>187</v>
      </c>
      <c r="F131" s="22" t="s">
        <v>275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>
      <c r="C132" s="6"/>
      <c r="D132" s="54" t="s">
        <v>276</v>
      </c>
      <c r="E132" s="26" t="s">
        <v>190</v>
      </c>
      <c r="F132" s="22" t="s">
        <v>277</v>
      </c>
      <c r="G132" s="23">
        <f t="shared" si="0"/>
        <v>0</v>
      </c>
      <c r="H132" s="56">
        <f>H133+H135</f>
        <v>0</v>
      </c>
      <c r="I132" s="56">
        <f>I133+I135</f>
        <v>0</v>
      </c>
      <c r="J132" s="56">
        <f>J133+J135</f>
        <v>0</v>
      </c>
      <c r="K132" s="56">
        <f>K133+K135</f>
        <v>0</v>
      </c>
      <c r="L132" s="13"/>
      <c r="M132" s="24"/>
      <c r="P132" s="25"/>
    </row>
    <row r="133" spans="3:16" ht="15" customHeight="1">
      <c r="C133" s="6"/>
      <c r="D133" s="54" t="s">
        <v>278</v>
      </c>
      <c r="E133" s="49" t="s">
        <v>279</v>
      </c>
      <c r="F133" s="22" t="s">
        <v>280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>
      <c r="C134" s="6"/>
      <c r="D134" s="54" t="s">
        <v>281</v>
      </c>
      <c r="E134" s="50" t="s">
        <v>282</v>
      </c>
      <c r="F134" s="22" t="s">
        <v>283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59"/>
    </row>
    <row r="135" spans="3:16" ht="15" customHeight="1">
      <c r="C135" s="6"/>
      <c r="D135" s="54" t="s">
        <v>284</v>
      </c>
      <c r="E135" s="49" t="s">
        <v>285</v>
      </c>
      <c r="F135" s="22" t="s">
        <v>286</v>
      </c>
      <c r="G135" s="23">
        <f t="shared" si="0"/>
        <v>0</v>
      </c>
      <c r="H135" s="55"/>
      <c r="I135" s="55"/>
      <c r="J135" s="55"/>
      <c r="K135" s="55"/>
      <c r="L135" s="13"/>
      <c r="M135" s="24"/>
      <c r="P135" s="25"/>
    </row>
    <row r="136" spans="3:16" ht="15" customHeight="1">
      <c r="C136" s="6"/>
      <c r="D136" s="54" t="s">
        <v>29</v>
      </c>
      <c r="E136" s="21" t="s">
        <v>287</v>
      </c>
      <c r="F136" s="22" t="s">
        <v>288</v>
      </c>
      <c r="G136" s="23">
        <f t="shared" si="0"/>
        <v>0</v>
      </c>
      <c r="H136" s="57">
        <f>SUM( H137+H142)</f>
        <v>0</v>
      </c>
      <c r="I136" s="57">
        <f>SUM( I137+I142)</f>
        <v>0</v>
      </c>
      <c r="J136" s="57">
        <f>SUM( J137+J142)</f>
        <v>0</v>
      </c>
      <c r="K136" s="57">
        <f>SUM( K137+K142)</f>
        <v>0</v>
      </c>
      <c r="L136" s="60"/>
      <c r="M136" s="24"/>
      <c r="P136" s="25"/>
    </row>
    <row r="137" spans="3:16" ht="15" customHeight="1">
      <c r="C137" s="6"/>
      <c r="D137" s="54" t="s">
        <v>289</v>
      </c>
      <c r="E137" s="26" t="s">
        <v>187</v>
      </c>
      <c r="F137" s="22" t="s">
        <v>290</v>
      </c>
      <c r="G137" s="23">
        <f t="shared" ref="G137:G150" si="1">SUM(H137:K137)</f>
        <v>0</v>
      </c>
      <c r="H137" s="57">
        <f>SUM( H138:H139)</f>
        <v>0</v>
      </c>
      <c r="I137" s="57">
        <f>SUM( I138:I139)</f>
        <v>0</v>
      </c>
      <c r="J137" s="57">
        <f>SUM( J138:J139)</f>
        <v>0</v>
      </c>
      <c r="K137" s="57">
        <f>SUM( K138:K139)</f>
        <v>0</v>
      </c>
      <c r="L137" s="60"/>
      <c r="M137" s="24"/>
      <c r="P137" s="25"/>
    </row>
    <row r="138" spans="3:16" ht="15" customHeight="1">
      <c r="C138" s="6"/>
      <c r="D138" s="54" t="s">
        <v>291</v>
      </c>
      <c r="E138" s="49" t="s">
        <v>208</v>
      </c>
      <c r="F138" s="22" t="s">
        <v>292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293</v>
      </c>
      <c r="E139" s="49" t="s">
        <v>211</v>
      </c>
      <c r="F139" s="22" t="s">
        <v>294</v>
      </c>
      <c r="G139" s="23">
        <f t="shared" si="1"/>
        <v>0</v>
      </c>
      <c r="H139" s="57">
        <f>H140+H141</f>
        <v>0</v>
      </c>
      <c r="I139" s="57">
        <f>I140+I141</f>
        <v>0</v>
      </c>
      <c r="J139" s="57">
        <f>J140+J141</f>
        <v>0</v>
      </c>
      <c r="K139" s="57">
        <f>K140+K141</f>
        <v>0</v>
      </c>
      <c r="L139" s="60"/>
      <c r="M139" s="24"/>
      <c r="P139" s="25"/>
    </row>
    <row r="140" spans="3:16" ht="15" customHeight="1">
      <c r="C140" s="6"/>
      <c r="D140" s="54" t="s">
        <v>295</v>
      </c>
      <c r="E140" s="50" t="s">
        <v>217</v>
      </c>
      <c r="F140" s="22" t="s">
        <v>296</v>
      </c>
      <c r="G140" s="23">
        <f t="shared" si="1"/>
        <v>0</v>
      </c>
      <c r="H140" s="61"/>
      <c r="I140" s="61"/>
      <c r="J140" s="61"/>
      <c r="K140" s="61"/>
      <c r="L140" s="60"/>
      <c r="M140" s="24"/>
      <c r="P140" s="25"/>
    </row>
    <row r="141" spans="3:16" ht="15" customHeight="1">
      <c r="C141" s="6"/>
      <c r="D141" s="54" t="s">
        <v>297</v>
      </c>
      <c r="E141" s="50" t="s">
        <v>298</v>
      </c>
      <c r="F141" s="22" t="s">
        <v>299</v>
      </c>
      <c r="G141" s="23">
        <f t="shared" si="1"/>
        <v>0</v>
      </c>
      <c r="H141" s="61"/>
      <c r="I141" s="61"/>
      <c r="J141" s="61"/>
      <c r="K141" s="61"/>
      <c r="L141" s="60"/>
      <c r="M141" s="24"/>
      <c r="P141" s="25"/>
    </row>
    <row r="142" spans="3:16" ht="15" customHeight="1">
      <c r="C142" s="6"/>
      <c r="D142" s="54" t="s">
        <v>300</v>
      </c>
      <c r="E142" s="26" t="s">
        <v>249</v>
      </c>
      <c r="F142" s="22" t="s">
        <v>301</v>
      </c>
      <c r="G142" s="23">
        <f t="shared" si="1"/>
        <v>0</v>
      </c>
      <c r="H142" s="57">
        <f>H143+H145</f>
        <v>0</v>
      </c>
      <c r="I142" s="57">
        <f>I143+I145</f>
        <v>0</v>
      </c>
      <c r="J142" s="57">
        <f>J143+J145</f>
        <v>0</v>
      </c>
      <c r="K142" s="57">
        <f>K143+K145</f>
        <v>0</v>
      </c>
      <c r="L142" s="60"/>
      <c r="M142" s="24"/>
      <c r="P142" s="25"/>
    </row>
    <row r="143" spans="3:16" ht="15" customHeight="1">
      <c r="C143" s="6"/>
      <c r="D143" s="54" t="s">
        <v>302</v>
      </c>
      <c r="E143" s="49" t="s">
        <v>279</v>
      </c>
      <c r="F143" s="22" t="s">
        <v>303</v>
      </c>
      <c r="G143" s="23">
        <f t="shared" si="1"/>
        <v>0</v>
      </c>
      <c r="H143" s="55"/>
      <c r="I143" s="55"/>
      <c r="J143" s="55"/>
      <c r="K143" s="55"/>
      <c r="L143" s="60"/>
      <c r="M143" s="24"/>
      <c r="P143" s="25"/>
    </row>
    <row r="144" spans="3:16" ht="15" customHeight="1">
      <c r="C144" s="6"/>
      <c r="D144" s="54" t="s">
        <v>304</v>
      </c>
      <c r="E144" s="50" t="s">
        <v>282</v>
      </c>
      <c r="F144" s="22" t="s">
        <v>305</v>
      </c>
      <c r="G144" s="23">
        <f t="shared" si="1"/>
        <v>0</v>
      </c>
      <c r="H144" s="55"/>
      <c r="I144" s="55"/>
      <c r="J144" s="55"/>
      <c r="K144" s="55"/>
      <c r="L144" s="60"/>
      <c r="M144" s="24"/>
      <c r="P144" s="25"/>
    </row>
    <row r="145" spans="3:19" ht="15" customHeight="1">
      <c r="C145" s="6"/>
      <c r="D145" s="54" t="s">
        <v>306</v>
      </c>
      <c r="E145" s="49" t="s">
        <v>285</v>
      </c>
      <c r="F145" s="22" t="s">
        <v>307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/>
    </row>
    <row r="146" spans="3:19" ht="28.5" customHeight="1">
      <c r="C146" s="6"/>
      <c r="D146" s="54" t="s">
        <v>308</v>
      </c>
      <c r="E146" s="21" t="s">
        <v>309</v>
      </c>
      <c r="F146" s="22" t="s">
        <v>310</v>
      </c>
      <c r="G146" s="23">
        <f t="shared" si="1"/>
        <v>2530.7544578600005</v>
      </c>
      <c r="H146" s="63">
        <f>SUM( H147:H148)</f>
        <v>0</v>
      </c>
      <c r="I146" s="63">
        <f>SUM( I147:I148)</f>
        <v>2374.8899514800005</v>
      </c>
      <c r="J146" s="63">
        <f>SUM( J147:J148)</f>
        <v>54.711587640000005</v>
      </c>
      <c r="K146" s="63">
        <f>SUM( K147:K148)</f>
        <v>101.15291873999999</v>
      </c>
      <c r="L146" s="60"/>
      <c r="M146" s="24"/>
      <c r="P146" s="25"/>
    </row>
    <row r="147" spans="3:19" ht="15" customHeight="1">
      <c r="C147" s="6"/>
      <c r="D147" s="54" t="s">
        <v>311</v>
      </c>
      <c r="E147" s="26" t="s">
        <v>187</v>
      </c>
      <c r="F147" s="22" t="s">
        <v>312</v>
      </c>
      <c r="G147" s="23">
        <f t="shared" si="1"/>
        <v>0</v>
      </c>
      <c r="H147" s="62"/>
      <c r="I147" s="62"/>
      <c r="J147" s="62"/>
      <c r="K147" s="62"/>
      <c r="L147" s="60"/>
      <c r="M147" s="24"/>
      <c r="P147" s="25"/>
    </row>
    <row r="148" spans="3:19" ht="15" customHeight="1">
      <c r="C148" s="6"/>
      <c r="D148" s="54" t="s">
        <v>313</v>
      </c>
      <c r="E148" s="26" t="s">
        <v>190</v>
      </c>
      <c r="F148" s="22" t="s">
        <v>314</v>
      </c>
      <c r="G148" s="23">
        <f t="shared" si="1"/>
        <v>2530.7544578600005</v>
      </c>
      <c r="H148" s="63">
        <f>H149+H150</f>
        <v>0</v>
      </c>
      <c r="I148" s="63">
        <f>I149+I150</f>
        <v>2374.8899514800005</v>
      </c>
      <c r="J148" s="63">
        <f>J149+J150</f>
        <v>54.711587640000005</v>
      </c>
      <c r="K148" s="63">
        <f>K149+K150</f>
        <v>101.15291873999999</v>
      </c>
      <c r="L148" s="60"/>
      <c r="M148" s="24"/>
      <c r="P148" s="25"/>
    </row>
    <row r="149" spans="3:19" ht="15" customHeight="1">
      <c r="C149" s="6"/>
      <c r="D149" s="54" t="s">
        <v>315</v>
      </c>
      <c r="E149" s="49" t="s">
        <v>316</v>
      </c>
      <c r="F149" s="22" t="s">
        <v>317</v>
      </c>
      <c r="G149" s="23">
        <f t="shared" si="1"/>
        <v>1819.1300645000003</v>
      </c>
      <c r="H149" s="62"/>
      <c r="I149" s="62">
        <f>I127*172429.39/1000</f>
        <v>1819.1300645000003</v>
      </c>
      <c r="J149" s="62"/>
      <c r="K149" s="62"/>
      <c r="L149" s="60"/>
      <c r="M149" s="24"/>
      <c r="P149" s="25"/>
    </row>
    <row r="150" spans="3:19" ht="15" customHeight="1">
      <c r="C150" s="6"/>
      <c r="D150" s="54" t="s">
        <v>319</v>
      </c>
      <c r="E150" s="49" t="s">
        <v>285</v>
      </c>
      <c r="F150" s="22" t="s">
        <v>320</v>
      </c>
      <c r="G150" s="23">
        <f t="shared" si="1"/>
        <v>711.62439336</v>
      </c>
      <c r="H150" s="62"/>
      <c r="I150" s="62">
        <f>(I34+G48)*164.94/1000</f>
        <v>555.75988697999992</v>
      </c>
      <c r="J150" s="62">
        <f>J34*164.94/1000</f>
        <v>54.711587640000005</v>
      </c>
      <c r="K150" s="62">
        <f>K34*164.94/1000</f>
        <v>101.15291873999999</v>
      </c>
      <c r="L150" s="60"/>
      <c r="M150" s="24"/>
      <c r="P150" s="25"/>
    </row>
    <row r="151" spans="3:19">
      <c r="D151" s="11"/>
      <c r="E151" s="64"/>
      <c r="F151" s="64"/>
      <c r="G151" s="64"/>
      <c r="H151" s="64"/>
      <c r="I151" s="64"/>
      <c r="J151" s="64"/>
      <c r="K151" s="65"/>
      <c r="L151" s="65"/>
      <c r="M151" s="65"/>
      <c r="N151" s="65"/>
      <c r="O151" s="65"/>
      <c r="P151" s="65"/>
      <c r="Q151" s="65"/>
      <c r="R151" s="66"/>
      <c r="S151" s="66"/>
    </row>
    <row r="152" spans="3:19" ht="12.75">
      <c r="E152" s="24" t="s">
        <v>322</v>
      </c>
      <c r="F152" s="76" t="str">
        <f>IF([8]Титульный!G45="","",[8]Титульный!G45)</f>
        <v>экономист</v>
      </c>
      <c r="G152" s="76"/>
      <c r="H152" s="67"/>
      <c r="I152" s="76" t="str">
        <f>IF([8]Титульный!G44="","",[8]Титульный!G44)</f>
        <v>Гизикова А.Н.</v>
      </c>
      <c r="J152" s="76"/>
      <c r="K152" s="76"/>
      <c r="L152" s="67"/>
      <c r="M152" s="68"/>
      <c r="N152" s="68"/>
      <c r="O152" s="69"/>
      <c r="P152" s="65"/>
      <c r="Q152" s="65"/>
      <c r="R152" s="66"/>
      <c r="S152" s="66"/>
    </row>
    <row r="153" spans="3:19" ht="12.75">
      <c r="E153" s="70" t="s">
        <v>323</v>
      </c>
      <c r="F153" s="86" t="s">
        <v>324</v>
      </c>
      <c r="G153" s="86"/>
      <c r="H153" s="69"/>
      <c r="I153" s="86" t="s">
        <v>325</v>
      </c>
      <c r="J153" s="86"/>
      <c r="K153" s="86"/>
      <c r="L153" s="69"/>
      <c r="M153" s="86" t="s">
        <v>326</v>
      </c>
      <c r="N153" s="86"/>
      <c r="O153" s="24"/>
      <c r="P153" s="65"/>
      <c r="Q153" s="65"/>
      <c r="R153" s="66"/>
      <c r="S153" s="66"/>
    </row>
    <row r="154" spans="3:19" ht="12.75">
      <c r="E154" s="70" t="s">
        <v>327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65"/>
      <c r="Q154" s="65"/>
      <c r="R154" s="66"/>
      <c r="S154" s="66"/>
    </row>
    <row r="155" spans="3:19" ht="12.75">
      <c r="E155" s="70" t="s">
        <v>328</v>
      </c>
      <c r="F155" s="76" t="str">
        <f>IF([8]Титульный!G46="","",[8]Титульный!G46)</f>
        <v>(861) 258-50-71</v>
      </c>
      <c r="G155" s="76"/>
      <c r="H155" s="76"/>
      <c r="I155" s="24"/>
      <c r="J155" s="70" t="s">
        <v>329</v>
      </c>
      <c r="K155" s="71"/>
      <c r="L155" s="24"/>
      <c r="M155" s="24"/>
      <c r="N155" s="24"/>
      <c r="O155" s="24"/>
      <c r="P155" s="65"/>
      <c r="Q155" s="65"/>
      <c r="R155" s="66"/>
      <c r="S155" s="66"/>
    </row>
    <row r="156" spans="3:19" ht="12.75">
      <c r="E156" s="24" t="s">
        <v>330</v>
      </c>
      <c r="F156" s="87" t="s">
        <v>331</v>
      </c>
      <c r="G156" s="87"/>
      <c r="H156" s="87"/>
      <c r="I156" s="24"/>
      <c r="J156" s="72" t="s">
        <v>332</v>
      </c>
      <c r="K156" s="72"/>
      <c r="L156" s="24"/>
      <c r="M156" s="24"/>
      <c r="N156" s="24"/>
      <c r="O156" s="24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  <row r="184" spans="5:19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</row>
    <row r="185" spans="5:19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19 E58 E65 E81"/>
    <dataValidation type="decimal" allowBlank="1" showErrorMessage="1" errorTitle="Ошибка" error="Допускается ввод только действительных чисел!" sqref="G24:K26 G93:K95 G15:K19 G54:K58 G83:K91 G97:K128 G63:K65 G44:K52 G28:K42 G130:K150 G60:K61 G21:K22 G67:K81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indexed="31"/>
  </sheetPr>
  <dimension ref="A1:CC185"/>
  <sheetViews>
    <sheetView topLeftCell="C7" workbookViewId="0">
      <selection activeCell="L19" sqref="L19:P150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340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4752.2950000000001</v>
      </c>
      <c r="H15" s="23">
        <f>H16+H17+H21+H24</f>
        <v>0</v>
      </c>
      <c r="I15" s="23">
        <f>I16+I17+I21+I24</f>
        <v>4735.5820000000003</v>
      </c>
      <c r="J15" s="23">
        <f>J16+J17+J21+J24</f>
        <v>16.713000000000001</v>
      </c>
      <c r="K15" s="23">
        <f>K16+K17+K21+K24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6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16.713000000000001</v>
      </c>
      <c r="H17" s="23">
        <f>SUM(H18:H20)</f>
        <v>0</v>
      </c>
      <c r="I17" s="23">
        <f>SUM(I18:I20)</f>
        <v>0</v>
      </c>
      <c r="J17" s="23">
        <f>SUM(J18:J20)</f>
        <v>16.713000000000001</v>
      </c>
      <c r="K17" s="23">
        <f>SUM(K18:K20)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32" t="s">
        <v>30</v>
      </c>
      <c r="D19" s="33" t="s">
        <v>31</v>
      </c>
      <c r="E19" s="34" t="s">
        <v>32</v>
      </c>
      <c r="F19" s="35">
        <v>31</v>
      </c>
      <c r="G19" s="36">
        <f>SUM(H19:K19)</f>
        <v>16.713000000000001</v>
      </c>
      <c r="H19" s="37"/>
      <c r="I19" s="37"/>
      <c r="J19" s="37">
        <f>16713/1000</f>
        <v>16.713000000000001</v>
      </c>
      <c r="K19" s="38"/>
      <c r="L19" s="19"/>
      <c r="M19" s="39"/>
      <c r="N19" s="40"/>
      <c r="O19" s="40"/>
    </row>
    <row r="20" spans="3:16" s="17" customFormat="1" ht="15" customHeight="1">
      <c r="C20" s="18"/>
      <c r="D20" s="41"/>
      <c r="E20" s="42" t="s">
        <v>33</v>
      </c>
      <c r="F20" s="43"/>
      <c r="G20" s="43"/>
      <c r="H20" s="43"/>
      <c r="I20" s="43"/>
      <c r="J20" s="43"/>
      <c r="K20" s="44"/>
      <c r="L20" s="19"/>
      <c r="M20" s="24"/>
      <c r="P20" s="45"/>
    </row>
    <row r="21" spans="3:16" s="17" customFormat="1" ht="15" customHeight="1">
      <c r="C21" s="18"/>
      <c r="D21" s="20" t="s">
        <v>34</v>
      </c>
      <c r="E21" s="26" t="s">
        <v>35</v>
      </c>
      <c r="F21" s="22" t="s">
        <v>36</v>
      </c>
      <c r="G21" s="23">
        <f t="shared" si="0"/>
        <v>0</v>
      </c>
      <c r="H21" s="23">
        <f>SUM(H22:H23)</f>
        <v>0</v>
      </c>
      <c r="I21" s="23">
        <f>SUM(I22:I23)</f>
        <v>0</v>
      </c>
      <c r="J21" s="23">
        <f>SUM(J22:J23)</f>
        <v>0</v>
      </c>
      <c r="K21" s="23">
        <f>SUM(K22:K23)</f>
        <v>0</v>
      </c>
      <c r="L21" s="19"/>
      <c r="M21" s="24"/>
      <c r="P21" s="45"/>
    </row>
    <row r="22" spans="3:16" s="17" customFormat="1" ht="12.75" hidden="1">
      <c r="C22" s="18"/>
      <c r="D22" s="28" t="s">
        <v>37</v>
      </c>
      <c r="E22" s="29"/>
      <c r="F22" s="30" t="s">
        <v>36</v>
      </c>
      <c r="G22" s="31"/>
      <c r="H22" s="31"/>
      <c r="I22" s="31"/>
      <c r="J22" s="31"/>
      <c r="K22" s="31"/>
      <c r="L22" s="19"/>
      <c r="M22" s="24"/>
      <c r="P22" s="25"/>
    </row>
    <row r="23" spans="3:16" s="17" customFormat="1" ht="15" customHeight="1">
      <c r="C23" s="18"/>
      <c r="D23" s="41"/>
      <c r="E23" s="42" t="s">
        <v>33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>
      <c r="C24" s="18"/>
      <c r="D24" s="20" t="s">
        <v>38</v>
      </c>
      <c r="E24" s="26" t="s">
        <v>39</v>
      </c>
      <c r="F24" s="22" t="s">
        <v>40</v>
      </c>
      <c r="G24" s="23">
        <f t="shared" si="0"/>
        <v>4735.5820000000003</v>
      </c>
      <c r="H24" s="23">
        <f>SUM(H25:H27)</f>
        <v>0</v>
      </c>
      <c r="I24" s="23">
        <f>SUM(I25:I27)</f>
        <v>4735.5820000000003</v>
      </c>
      <c r="J24" s="23">
        <f>SUM(J25:J27)</f>
        <v>0</v>
      </c>
      <c r="K24" s="23">
        <f>SUM(K25:K27)</f>
        <v>0</v>
      </c>
      <c r="L24" s="19"/>
      <c r="M24" s="24"/>
      <c r="P24" s="25"/>
    </row>
    <row r="25" spans="3:16" s="17" customFormat="1" ht="12.75" hidden="1">
      <c r="C25" s="18"/>
      <c r="D25" s="28" t="s">
        <v>41</v>
      </c>
      <c r="E25" s="29"/>
      <c r="F25" s="30" t="s">
        <v>40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>
      <c r="C26" s="32" t="s">
        <v>30</v>
      </c>
      <c r="D26" s="33" t="s">
        <v>42</v>
      </c>
      <c r="E26" s="34" t="s">
        <v>43</v>
      </c>
      <c r="F26" s="35">
        <v>431</v>
      </c>
      <c r="G26" s="36">
        <f>SUM(H26:K26)</f>
        <v>4735.5820000000003</v>
      </c>
      <c r="H26" s="37"/>
      <c r="I26" s="37">
        <f>4735582/1000</f>
        <v>4735.5820000000003</v>
      </c>
      <c r="J26" s="37"/>
      <c r="K26" s="38"/>
      <c r="L26" s="19"/>
      <c r="M26" s="39"/>
      <c r="N26" s="40"/>
      <c r="O26" s="40"/>
    </row>
    <row r="27" spans="3:16" s="17" customFormat="1" ht="15" customHeight="1">
      <c r="C27" s="18"/>
      <c r="D27" s="41"/>
      <c r="E27" s="42" t="s">
        <v>33</v>
      </c>
      <c r="F27" s="43"/>
      <c r="G27" s="43"/>
      <c r="H27" s="43"/>
      <c r="I27" s="43"/>
      <c r="J27" s="43"/>
      <c r="K27" s="44"/>
      <c r="L27" s="19"/>
      <c r="M27" s="24"/>
      <c r="P27" s="25"/>
    </row>
    <row r="28" spans="3:16" s="17" customFormat="1" ht="15" customHeight="1">
      <c r="C28" s="18"/>
      <c r="D28" s="20" t="s">
        <v>44</v>
      </c>
      <c r="E28" s="21" t="s">
        <v>45</v>
      </c>
      <c r="F28" s="22" t="s">
        <v>46</v>
      </c>
      <c r="G28" s="23">
        <f t="shared" si="0"/>
        <v>1855.4610000000005</v>
      </c>
      <c r="H28" s="23">
        <f>H30+H31+H32</f>
        <v>0</v>
      </c>
      <c r="I28" s="23">
        <f>I29+I31+I32</f>
        <v>0</v>
      </c>
      <c r="J28" s="23">
        <f>J29+J30+J32</f>
        <v>1094.2480000000003</v>
      </c>
      <c r="K28" s="23">
        <f>K29+K30+K31</f>
        <v>761.21300000000019</v>
      </c>
      <c r="L28" s="19"/>
      <c r="M28" s="24"/>
      <c r="P28" s="25"/>
    </row>
    <row r="29" spans="3:16" s="17" customFormat="1" ht="15" customHeight="1">
      <c r="C29" s="18"/>
      <c r="D29" s="20" t="s">
        <v>47</v>
      </c>
      <c r="E29" s="26" t="s">
        <v>17</v>
      </c>
      <c r="F29" s="22" t="s">
        <v>48</v>
      </c>
      <c r="G29" s="23">
        <f t="shared" si="0"/>
        <v>0</v>
      </c>
      <c r="H29" s="46"/>
      <c r="I29" s="27"/>
      <c r="J29" s="27"/>
      <c r="K29" s="27"/>
      <c r="L29" s="19"/>
      <c r="M29" s="24"/>
      <c r="P29" s="25"/>
    </row>
    <row r="30" spans="3:16" s="17" customFormat="1" ht="15" customHeight="1">
      <c r="C30" s="18"/>
      <c r="D30" s="20" t="s">
        <v>49</v>
      </c>
      <c r="E30" s="26" t="s">
        <v>18</v>
      </c>
      <c r="F30" s="22" t="s">
        <v>50</v>
      </c>
      <c r="G30" s="23">
        <f t="shared" si="0"/>
        <v>1094.2480000000003</v>
      </c>
      <c r="H30" s="27"/>
      <c r="I30" s="46"/>
      <c r="J30" s="27">
        <f>I15-I34-I48</f>
        <v>1094.2480000000003</v>
      </c>
      <c r="K30" s="27"/>
      <c r="L30" s="19"/>
      <c r="M30" s="24"/>
      <c r="P30" s="25"/>
    </row>
    <row r="31" spans="3:16" s="17" customFormat="1" ht="15" customHeight="1">
      <c r="C31" s="18"/>
      <c r="D31" s="20" t="s">
        <v>51</v>
      </c>
      <c r="E31" s="26" t="s">
        <v>19</v>
      </c>
      <c r="F31" s="22" t="s">
        <v>52</v>
      </c>
      <c r="G31" s="23">
        <f t="shared" si="0"/>
        <v>761.21300000000019</v>
      </c>
      <c r="H31" s="27"/>
      <c r="I31" s="27"/>
      <c r="J31" s="46"/>
      <c r="K31" s="27">
        <f>J15+J28-J34-J48</f>
        <v>761.21300000000019</v>
      </c>
      <c r="L31" s="19"/>
      <c r="M31" s="24"/>
      <c r="P31" s="25"/>
    </row>
    <row r="32" spans="3:16" s="17" customFormat="1" ht="15" customHeight="1">
      <c r="C32" s="18"/>
      <c r="D32" s="20" t="s">
        <v>53</v>
      </c>
      <c r="E32" s="26" t="s">
        <v>54</v>
      </c>
      <c r="F32" s="22" t="s">
        <v>55</v>
      </c>
      <c r="G32" s="23">
        <f t="shared" si="0"/>
        <v>0</v>
      </c>
      <c r="H32" s="27"/>
      <c r="I32" s="27"/>
      <c r="J32" s="27"/>
      <c r="K32" s="46"/>
      <c r="L32" s="19"/>
      <c r="M32" s="24"/>
      <c r="P32" s="25"/>
    </row>
    <row r="33" spans="3:16" s="17" customFormat="1" ht="15" customHeight="1">
      <c r="C33" s="18"/>
      <c r="D33" s="20" t="s">
        <v>56</v>
      </c>
      <c r="E33" s="47" t="s">
        <v>57</v>
      </c>
      <c r="F33" s="22" t="s">
        <v>58</v>
      </c>
      <c r="G33" s="23">
        <f t="shared" si="0"/>
        <v>0</v>
      </c>
      <c r="H33" s="27"/>
      <c r="I33" s="27"/>
      <c r="J33" s="27"/>
      <c r="K33" s="27"/>
      <c r="L33" s="19"/>
      <c r="M33" s="24"/>
      <c r="P33" s="25"/>
    </row>
    <row r="34" spans="3:16" s="17" customFormat="1" ht="15" customHeight="1">
      <c r="C34" s="18"/>
      <c r="D34" s="20" t="s">
        <v>59</v>
      </c>
      <c r="E34" s="21" t="s">
        <v>60</v>
      </c>
      <c r="F34" s="48" t="s">
        <v>61</v>
      </c>
      <c r="G34" s="23">
        <f t="shared" si="0"/>
        <v>4641.0029999999997</v>
      </c>
      <c r="H34" s="23">
        <f>H35+H37+H40+H44</f>
        <v>0</v>
      </c>
      <c r="I34" s="23">
        <f>I35+I37+I40+I44</f>
        <v>3594.65</v>
      </c>
      <c r="J34" s="23">
        <f>J35+J37+J40+J44</f>
        <v>334.77800000000002</v>
      </c>
      <c r="K34" s="23">
        <f>K35+K37+K40+K44</f>
        <v>711.57500000000005</v>
      </c>
      <c r="L34" s="19"/>
      <c r="M34" s="24"/>
      <c r="P34" s="25"/>
    </row>
    <row r="35" spans="3:16" s="17" customFormat="1" ht="22.5">
      <c r="C35" s="18"/>
      <c r="D35" s="20" t="s">
        <v>62</v>
      </c>
      <c r="E35" s="26" t="s">
        <v>63</v>
      </c>
      <c r="F35" s="22" t="s">
        <v>64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65</v>
      </c>
      <c r="E36" s="49" t="s">
        <v>66</v>
      </c>
      <c r="F36" s="22" t="s">
        <v>67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>
      <c r="C37" s="18"/>
      <c r="D37" s="20" t="s">
        <v>68</v>
      </c>
      <c r="E37" s="26" t="s">
        <v>69</v>
      </c>
      <c r="F37" s="22" t="s">
        <v>70</v>
      </c>
      <c r="G37" s="23">
        <f t="shared" si="0"/>
        <v>1869.9269999999999</v>
      </c>
      <c r="H37" s="27"/>
      <c r="I37" s="27">
        <f>823574/1000</f>
        <v>823.57399999999996</v>
      </c>
      <c r="J37" s="27">
        <f>334778/1000</f>
        <v>334.77800000000002</v>
      </c>
      <c r="K37" s="27">
        <f>711575/1000</f>
        <v>711.57500000000005</v>
      </c>
      <c r="L37" s="19"/>
      <c r="M37" s="24"/>
      <c r="P37" s="25"/>
    </row>
    <row r="38" spans="3:16" s="17" customFormat="1" ht="15" customHeight="1">
      <c r="C38" s="18"/>
      <c r="D38" s="20" t="s">
        <v>71</v>
      </c>
      <c r="E38" s="49" t="s">
        <v>72</v>
      </c>
      <c r="F38" s="22" t="s">
        <v>73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74</v>
      </c>
      <c r="E39" s="50" t="s">
        <v>66</v>
      </c>
      <c r="F39" s="22" t="s">
        <v>75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>
      <c r="C40" s="18"/>
      <c r="D40" s="20" t="s">
        <v>76</v>
      </c>
      <c r="E40" s="26" t="s">
        <v>77</v>
      </c>
      <c r="F40" s="22" t="s">
        <v>78</v>
      </c>
      <c r="G40" s="23">
        <f t="shared" si="0"/>
        <v>2771.076</v>
      </c>
      <c r="H40" s="23">
        <f>SUM(H41:H43)</f>
        <v>0</v>
      </c>
      <c r="I40" s="23">
        <f>SUM(I41:I43)</f>
        <v>2771.076</v>
      </c>
      <c r="J40" s="23">
        <f>SUM(J41:J43)</f>
        <v>0</v>
      </c>
      <c r="K40" s="23">
        <f>SUM(K41:K43)</f>
        <v>0</v>
      </c>
      <c r="L40" s="19"/>
      <c r="M40" s="24"/>
      <c r="P40" s="25"/>
    </row>
    <row r="41" spans="3:16" s="17" customFormat="1" ht="12.75" hidden="1">
      <c r="C41" s="18"/>
      <c r="D41" s="28" t="s">
        <v>79</v>
      </c>
      <c r="E41" s="29"/>
      <c r="F41" s="30" t="s">
        <v>78</v>
      </c>
      <c r="G41" s="31"/>
      <c r="H41" s="31"/>
      <c r="I41" s="31"/>
      <c r="J41" s="31"/>
      <c r="K41" s="31"/>
      <c r="L41" s="19"/>
      <c r="M41" s="24"/>
      <c r="P41" s="25"/>
    </row>
    <row r="42" spans="3:16" s="17" customFormat="1" ht="15" customHeight="1">
      <c r="C42" s="32" t="s">
        <v>30</v>
      </c>
      <c r="D42" s="33" t="s">
        <v>80</v>
      </c>
      <c r="E42" s="34" t="s">
        <v>81</v>
      </c>
      <c r="F42" s="35">
        <v>751</v>
      </c>
      <c r="G42" s="36">
        <f>SUM(H42:K42)</f>
        <v>2771.076</v>
      </c>
      <c r="H42" s="37"/>
      <c r="I42" s="37">
        <f>2771076/1000</f>
        <v>2771.076</v>
      </c>
      <c r="J42" s="37"/>
      <c r="K42" s="38"/>
      <c r="L42" s="19"/>
      <c r="M42" s="39"/>
      <c r="N42" s="40"/>
      <c r="O42" s="40"/>
    </row>
    <row r="43" spans="3:16" s="17" customFormat="1" ht="15" customHeight="1">
      <c r="C43" s="18"/>
      <c r="D43" s="51"/>
      <c r="E43" s="42" t="s">
        <v>33</v>
      </c>
      <c r="F43" s="43"/>
      <c r="G43" s="43"/>
      <c r="H43" s="43"/>
      <c r="I43" s="43"/>
      <c r="J43" s="43"/>
      <c r="K43" s="44"/>
      <c r="L43" s="19"/>
      <c r="M43" s="24"/>
      <c r="P43" s="25"/>
    </row>
    <row r="44" spans="3:16" s="17" customFormat="1" ht="15" customHeight="1">
      <c r="C44" s="18"/>
      <c r="D44" s="20" t="s">
        <v>82</v>
      </c>
      <c r="E44" s="52" t="s">
        <v>83</v>
      </c>
      <c r="F44" s="22" t="s">
        <v>84</v>
      </c>
      <c r="G44" s="23">
        <f t="shared" si="0"/>
        <v>0</v>
      </c>
      <c r="H44" s="27"/>
      <c r="I44" s="27"/>
      <c r="J44" s="27"/>
      <c r="K44" s="27"/>
      <c r="L44" s="19"/>
      <c r="M44" s="24"/>
      <c r="P44" s="25"/>
    </row>
    <row r="45" spans="3:16" s="17" customFormat="1" ht="15" customHeight="1">
      <c r="C45" s="18"/>
      <c r="D45" s="20" t="s">
        <v>85</v>
      </c>
      <c r="E45" s="21" t="s">
        <v>86</v>
      </c>
      <c r="F45" s="22" t="s">
        <v>87</v>
      </c>
      <c r="G45" s="23">
        <f t="shared" si="0"/>
        <v>1855.4610000000005</v>
      </c>
      <c r="H45" s="27"/>
      <c r="I45" s="27">
        <f>I15-I34-I48</f>
        <v>1094.2480000000003</v>
      </c>
      <c r="J45" s="27">
        <f>J19+J30-J37-J48</f>
        <v>761.21300000000019</v>
      </c>
      <c r="K45" s="27"/>
      <c r="L45" s="19"/>
      <c r="M45" s="24"/>
      <c r="P45" s="25"/>
    </row>
    <row r="46" spans="3:16" s="17" customFormat="1" ht="15" customHeight="1">
      <c r="C46" s="18"/>
      <c r="D46" s="20" t="s">
        <v>88</v>
      </c>
      <c r="E46" s="21" t="s">
        <v>89</v>
      </c>
      <c r="F46" s="22" t="s">
        <v>90</v>
      </c>
      <c r="G46" s="23">
        <f t="shared" si="0"/>
        <v>0</v>
      </c>
      <c r="H46" s="27"/>
      <c r="I46" s="27"/>
      <c r="J46" s="27"/>
      <c r="K46" s="27"/>
      <c r="L46" s="19"/>
      <c r="M46" s="24"/>
      <c r="P46" s="25"/>
    </row>
    <row r="47" spans="3:16" s="17" customFormat="1" ht="15" customHeight="1">
      <c r="C47" s="18"/>
      <c r="D47" s="20" t="s">
        <v>91</v>
      </c>
      <c r="E47" s="21" t="s">
        <v>92</v>
      </c>
      <c r="F47" s="22" t="s">
        <v>93</v>
      </c>
      <c r="G47" s="23">
        <f t="shared" si="0"/>
        <v>0</v>
      </c>
      <c r="H47" s="27"/>
      <c r="I47" s="27"/>
      <c r="J47" s="27"/>
      <c r="K47" s="27"/>
      <c r="L47" s="19"/>
      <c r="M47" s="24"/>
      <c r="P47" s="25"/>
    </row>
    <row r="48" spans="3:16" s="17" customFormat="1" ht="15" customHeight="1">
      <c r="C48" s="18"/>
      <c r="D48" s="20" t="s">
        <v>94</v>
      </c>
      <c r="E48" s="21" t="s">
        <v>95</v>
      </c>
      <c r="F48" s="22" t="s">
        <v>96</v>
      </c>
      <c r="G48" s="23">
        <f t="shared" si="0"/>
        <v>111.292</v>
      </c>
      <c r="H48" s="27"/>
      <c r="I48" s="27">
        <f>46684/1000</f>
        <v>46.683999999999997</v>
      </c>
      <c r="J48" s="27">
        <f>14970/1000</f>
        <v>14.97</v>
      </c>
      <c r="K48" s="27">
        <f>49638/1000</f>
        <v>49.637999999999998</v>
      </c>
      <c r="L48" s="19"/>
      <c r="M48" s="24"/>
      <c r="P48" s="25"/>
    </row>
    <row r="49" spans="3:16" s="17" customFormat="1" ht="15" customHeight="1">
      <c r="C49" s="18"/>
      <c r="D49" s="20" t="s">
        <v>97</v>
      </c>
      <c r="E49" s="26" t="s">
        <v>98</v>
      </c>
      <c r="F49" s="22" t="s">
        <v>99</v>
      </c>
      <c r="G49" s="23">
        <f t="shared" si="0"/>
        <v>0</v>
      </c>
      <c r="H49" s="27"/>
      <c r="I49" s="27"/>
      <c r="J49" s="27"/>
      <c r="K49" s="27"/>
      <c r="L49" s="19"/>
      <c r="M49" s="24"/>
      <c r="P49" s="25"/>
    </row>
    <row r="50" spans="3:16" s="17" customFormat="1" ht="15" customHeight="1">
      <c r="C50" s="18"/>
      <c r="D50" s="20" t="s">
        <v>100</v>
      </c>
      <c r="E50" s="21" t="s">
        <v>101</v>
      </c>
      <c r="F50" s="22" t="s">
        <v>102</v>
      </c>
      <c r="G50" s="23">
        <f t="shared" si="0"/>
        <v>259.99999999999994</v>
      </c>
      <c r="H50" s="27"/>
      <c r="I50" s="27">
        <v>43.358859829047589</v>
      </c>
      <c r="J50" s="27">
        <v>100.21179223588436</v>
      </c>
      <c r="K50" s="27">
        <f>112.429347935068+4</f>
        <v>116.42934793506799</v>
      </c>
      <c r="L50" s="19"/>
      <c r="M50" s="24"/>
      <c r="P50" s="45"/>
    </row>
    <row r="51" spans="3:16" s="17" customFormat="1" ht="33.75">
      <c r="C51" s="18"/>
      <c r="D51" s="20" t="s">
        <v>103</v>
      </c>
      <c r="E51" s="47" t="s">
        <v>104</v>
      </c>
      <c r="F51" s="22" t="s">
        <v>105</v>
      </c>
      <c r="G51" s="23">
        <f t="shared" si="0"/>
        <v>-148.70799999999994</v>
      </c>
      <c r="H51" s="23">
        <f>H48-H50</f>
        <v>0</v>
      </c>
      <c r="I51" s="23">
        <f>I48-I50</f>
        <v>3.3251401709524089</v>
      </c>
      <c r="J51" s="23">
        <f>J48-J50</f>
        <v>-85.241792235884361</v>
      </c>
      <c r="K51" s="23">
        <f>K48-K50</f>
        <v>-66.791347935067989</v>
      </c>
      <c r="L51" s="19"/>
      <c r="M51" s="24"/>
      <c r="P51" s="45"/>
    </row>
    <row r="52" spans="3:16" s="17" customFormat="1" ht="15" customHeight="1">
      <c r="C52" s="18"/>
      <c r="D52" s="20" t="s">
        <v>106</v>
      </c>
      <c r="E52" s="21" t="s">
        <v>107</v>
      </c>
      <c r="F52" s="22" t="s">
        <v>108</v>
      </c>
      <c r="G52" s="23">
        <f t="shared" si="0"/>
        <v>0</v>
      </c>
      <c r="H52" s="23">
        <f>(H15+H28+H33)-(H34+H45+H46+H47+H48)</f>
        <v>0</v>
      </c>
      <c r="I52" s="23">
        <f>(I15+I28+I33)-(I34+I45+I46+I47+I48)</f>
        <v>0</v>
      </c>
      <c r="J52" s="23">
        <f>(J15+J28+J33)-(J34+J45+J46+J47+J48)</f>
        <v>0</v>
      </c>
      <c r="K52" s="23">
        <f>(K15+K28+K33)-(K34+K45+K46+K47+K48)</f>
        <v>0</v>
      </c>
      <c r="L52" s="19"/>
      <c r="M52" s="24"/>
      <c r="P52" s="25"/>
    </row>
    <row r="53" spans="3:16" s="17" customFormat="1" ht="15" customHeight="1">
      <c r="C53" s="18"/>
      <c r="D53" s="83" t="s">
        <v>109</v>
      </c>
      <c r="E53" s="84"/>
      <c r="F53" s="84"/>
      <c r="G53" s="84"/>
      <c r="H53" s="84"/>
      <c r="I53" s="84"/>
      <c r="J53" s="84"/>
      <c r="K53" s="85"/>
      <c r="L53" s="19"/>
      <c r="M53" s="24"/>
      <c r="P53" s="45"/>
    </row>
    <row r="54" spans="3:16" s="17" customFormat="1" ht="15" customHeight="1">
      <c r="C54" s="18"/>
      <c r="D54" s="20" t="s">
        <v>110</v>
      </c>
      <c r="E54" s="21" t="s">
        <v>23</v>
      </c>
      <c r="F54" s="22" t="s">
        <v>111</v>
      </c>
      <c r="G54" s="23">
        <f t="shared" si="0"/>
        <v>6.6004097222222224</v>
      </c>
      <c r="H54" s="23">
        <f>H55+H56+H60+H63</f>
        <v>0</v>
      </c>
      <c r="I54" s="23">
        <f>I55+I56+I60+I63</f>
        <v>6.5771972222222228</v>
      </c>
      <c r="J54" s="23">
        <f>J55+J56+J60+J63</f>
        <v>2.32125E-2</v>
      </c>
      <c r="K54" s="23">
        <f>K55+K56+K60+K63</f>
        <v>0</v>
      </c>
      <c r="L54" s="19"/>
      <c r="M54" s="24"/>
      <c r="P54" s="25"/>
    </row>
    <row r="55" spans="3:16" s="17" customFormat="1" ht="15" customHeight="1">
      <c r="C55" s="18"/>
      <c r="D55" s="20" t="s">
        <v>112</v>
      </c>
      <c r="E55" s="26" t="s">
        <v>25</v>
      </c>
      <c r="F55" s="22" t="s">
        <v>113</v>
      </c>
      <c r="G55" s="23">
        <f t="shared" si="0"/>
        <v>0</v>
      </c>
      <c r="H55" s="27"/>
      <c r="I55" s="27"/>
      <c r="J55" s="27"/>
      <c r="K55" s="27"/>
      <c r="L55" s="19"/>
      <c r="M55" s="24"/>
      <c r="P55" s="25"/>
    </row>
    <row r="56" spans="3:16" s="17" customFormat="1" ht="15" customHeight="1">
      <c r="C56" s="18"/>
      <c r="D56" s="20" t="s">
        <v>114</v>
      </c>
      <c r="E56" s="26" t="s">
        <v>27</v>
      </c>
      <c r="F56" s="22" t="s">
        <v>115</v>
      </c>
      <c r="G56" s="23">
        <f t="shared" si="0"/>
        <v>2.32125E-2</v>
      </c>
      <c r="H56" s="23">
        <f>SUM(H57:H59)</f>
        <v>0</v>
      </c>
      <c r="I56" s="23">
        <f>SUM(I57:I59)</f>
        <v>0</v>
      </c>
      <c r="J56" s="23">
        <f>SUM(J57:J59)</f>
        <v>2.32125E-2</v>
      </c>
      <c r="K56" s="23">
        <f>SUM(K57:K59)</f>
        <v>0</v>
      </c>
      <c r="L56" s="19"/>
      <c r="M56" s="24"/>
      <c r="P56" s="25"/>
    </row>
    <row r="57" spans="3:16" s="17" customFormat="1" ht="12.75" hidden="1">
      <c r="C57" s="18"/>
      <c r="D57" s="28" t="s">
        <v>116</v>
      </c>
      <c r="E57" s="29"/>
      <c r="F57" s="30" t="s">
        <v>115</v>
      </c>
      <c r="G57" s="31"/>
      <c r="H57" s="31"/>
      <c r="I57" s="31"/>
      <c r="J57" s="31"/>
      <c r="K57" s="31"/>
      <c r="L57" s="19"/>
      <c r="M57" s="24"/>
      <c r="P57" s="25"/>
    </row>
    <row r="58" spans="3:16" s="17" customFormat="1" ht="15" customHeight="1">
      <c r="C58" s="32" t="s">
        <v>30</v>
      </c>
      <c r="D58" s="33" t="s">
        <v>117</v>
      </c>
      <c r="E58" s="34" t="s">
        <v>32</v>
      </c>
      <c r="F58" s="35">
        <v>1061</v>
      </c>
      <c r="G58" s="36">
        <f>SUM(H58:K58)</f>
        <v>2.32125E-2</v>
      </c>
      <c r="H58" s="37"/>
      <c r="I58" s="37"/>
      <c r="J58" s="37">
        <f>J19/720</f>
        <v>2.32125E-2</v>
      </c>
      <c r="K58" s="38"/>
      <c r="L58" s="19"/>
      <c r="M58" s="39"/>
      <c r="N58" s="40"/>
      <c r="O58" s="40"/>
    </row>
    <row r="59" spans="3:16" s="17" customFormat="1" ht="15" customHeight="1">
      <c r="C59" s="18"/>
      <c r="D59" s="41"/>
      <c r="E59" s="42" t="s">
        <v>33</v>
      </c>
      <c r="F59" s="43"/>
      <c r="G59" s="43"/>
      <c r="H59" s="43"/>
      <c r="I59" s="43"/>
      <c r="J59" s="43"/>
      <c r="K59" s="44"/>
      <c r="L59" s="19"/>
      <c r="M59" s="24"/>
      <c r="P59" s="25"/>
    </row>
    <row r="60" spans="3:16" s="17" customFormat="1" ht="15" customHeight="1">
      <c r="C60" s="18"/>
      <c r="D60" s="20" t="s">
        <v>118</v>
      </c>
      <c r="E60" s="26" t="s">
        <v>35</v>
      </c>
      <c r="F60" s="22" t="s">
        <v>119</v>
      </c>
      <c r="G60" s="23">
        <f t="shared" si="0"/>
        <v>0</v>
      </c>
      <c r="H60" s="23">
        <f>SUM(H61:H62)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19"/>
      <c r="M60" s="24"/>
      <c r="P60" s="25"/>
    </row>
    <row r="61" spans="3:16" s="17" customFormat="1" ht="12.75" hidden="1" customHeight="1">
      <c r="C61" s="18"/>
      <c r="D61" s="28" t="s">
        <v>120</v>
      </c>
      <c r="E61" s="29"/>
      <c r="F61" s="30" t="s">
        <v>119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customHeight="1">
      <c r="C62" s="18"/>
      <c r="D62" s="41"/>
      <c r="E62" s="42" t="s">
        <v>33</v>
      </c>
      <c r="F62" s="43"/>
      <c r="G62" s="43"/>
      <c r="H62" s="43"/>
      <c r="I62" s="43"/>
      <c r="J62" s="43"/>
      <c r="K62" s="44"/>
      <c r="L62" s="19"/>
      <c r="M62" s="24"/>
      <c r="P62" s="25"/>
    </row>
    <row r="63" spans="3:16" s="17" customFormat="1" ht="15" customHeight="1">
      <c r="C63" s="18"/>
      <c r="D63" s="20" t="s">
        <v>121</v>
      </c>
      <c r="E63" s="26" t="s">
        <v>39</v>
      </c>
      <c r="F63" s="22" t="s">
        <v>122</v>
      </c>
      <c r="G63" s="23">
        <f t="shared" si="0"/>
        <v>6.5771972222222228</v>
      </c>
      <c r="H63" s="23">
        <f>SUM(H64:H66)</f>
        <v>0</v>
      </c>
      <c r="I63" s="23">
        <f>SUM(I64:I66)</f>
        <v>6.5771972222222228</v>
      </c>
      <c r="J63" s="23">
        <f>SUM(J64:J66)</f>
        <v>0</v>
      </c>
      <c r="K63" s="23">
        <f>SUM(K64:K66)</f>
        <v>0</v>
      </c>
      <c r="L63" s="19"/>
      <c r="M63" s="24"/>
      <c r="P63" s="25"/>
    </row>
    <row r="64" spans="3:16" s="17" customFormat="1" ht="12.75" hidden="1" customHeight="1">
      <c r="C64" s="18"/>
      <c r="D64" s="28" t="s">
        <v>123</v>
      </c>
      <c r="E64" s="29"/>
      <c r="F64" s="30" t="s">
        <v>122</v>
      </c>
      <c r="G64" s="31"/>
      <c r="H64" s="31"/>
      <c r="I64" s="31"/>
      <c r="J64" s="31"/>
      <c r="K64" s="31"/>
      <c r="L64" s="19"/>
      <c r="M64" s="24"/>
      <c r="P64" s="25"/>
    </row>
    <row r="65" spans="3:16" s="17" customFormat="1" ht="15" customHeight="1">
      <c r="C65" s="32" t="s">
        <v>30</v>
      </c>
      <c r="D65" s="33" t="s">
        <v>124</v>
      </c>
      <c r="E65" s="34" t="s">
        <v>43</v>
      </c>
      <c r="F65" s="35">
        <v>1461</v>
      </c>
      <c r="G65" s="36">
        <f>SUM(H65:K65)</f>
        <v>6.5771972222222228</v>
      </c>
      <c r="H65" s="37"/>
      <c r="I65" s="37">
        <f>I26/720</f>
        <v>6.5771972222222228</v>
      </c>
      <c r="J65" s="37"/>
      <c r="K65" s="38"/>
      <c r="L65" s="19"/>
      <c r="M65" s="39"/>
      <c r="N65" s="40"/>
      <c r="O65" s="40"/>
    </row>
    <row r="66" spans="3:16" s="17" customFormat="1" ht="15" customHeight="1">
      <c r="C66" s="18"/>
      <c r="D66" s="41"/>
      <c r="E66" s="42" t="s">
        <v>33</v>
      </c>
      <c r="F66" s="43"/>
      <c r="G66" s="43"/>
      <c r="H66" s="43"/>
      <c r="I66" s="43"/>
      <c r="J66" s="43"/>
      <c r="K66" s="44"/>
      <c r="L66" s="19"/>
      <c r="M66" s="24"/>
      <c r="P66" s="25"/>
    </row>
    <row r="67" spans="3:16" s="17" customFormat="1" ht="15" customHeight="1">
      <c r="C67" s="18"/>
      <c r="D67" s="20" t="s">
        <v>125</v>
      </c>
      <c r="E67" s="21" t="s">
        <v>45</v>
      </c>
      <c r="F67" s="22" t="s">
        <v>126</v>
      </c>
      <c r="G67" s="23">
        <f t="shared" si="0"/>
        <v>2.5770291666666676</v>
      </c>
      <c r="H67" s="23">
        <f>H69+H70+H71</f>
        <v>0</v>
      </c>
      <c r="I67" s="23">
        <f>I68+I70+I71</f>
        <v>0</v>
      </c>
      <c r="J67" s="23">
        <f>J68+J69+J71</f>
        <v>1.5197888888888893</v>
      </c>
      <c r="K67" s="23">
        <f>K68+K69+K70</f>
        <v>1.0572402777777781</v>
      </c>
      <c r="L67" s="19"/>
      <c r="M67" s="24"/>
      <c r="P67" s="25"/>
    </row>
    <row r="68" spans="3:16" s="17" customFormat="1" ht="15" customHeight="1">
      <c r="C68" s="18"/>
      <c r="D68" s="20" t="s">
        <v>127</v>
      </c>
      <c r="E68" s="26" t="s">
        <v>17</v>
      </c>
      <c r="F68" s="22" t="s">
        <v>128</v>
      </c>
      <c r="G68" s="23">
        <f t="shared" si="0"/>
        <v>0</v>
      </c>
      <c r="H68" s="46"/>
      <c r="I68" s="27"/>
      <c r="J68" s="27"/>
      <c r="K68" s="27"/>
      <c r="L68" s="19"/>
      <c r="M68" s="24"/>
      <c r="P68" s="25"/>
    </row>
    <row r="69" spans="3:16" s="17" customFormat="1" ht="15" customHeight="1">
      <c r="C69" s="18"/>
      <c r="D69" s="20" t="s">
        <v>129</v>
      </c>
      <c r="E69" s="26" t="s">
        <v>18</v>
      </c>
      <c r="F69" s="22" t="s">
        <v>130</v>
      </c>
      <c r="G69" s="23">
        <f t="shared" si="0"/>
        <v>1.5197888888888893</v>
      </c>
      <c r="H69" s="27"/>
      <c r="I69" s="53"/>
      <c r="J69" s="27">
        <f>J30/720</f>
        <v>1.5197888888888893</v>
      </c>
      <c r="K69" s="27"/>
      <c r="L69" s="19"/>
      <c r="M69" s="24"/>
      <c r="P69" s="25"/>
    </row>
    <row r="70" spans="3:16" s="17" customFormat="1" ht="15" customHeight="1">
      <c r="C70" s="18"/>
      <c r="D70" s="20" t="s">
        <v>131</v>
      </c>
      <c r="E70" s="26" t="s">
        <v>19</v>
      </c>
      <c r="F70" s="22" t="s">
        <v>132</v>
      </c>
      <c r="G70" s="23">
        <f t="shared" si="0"/>
        <v>1.0572402777777781</v>
      </c>
      <c r="H70" s="27"/>
      <c r="I70" s="27"/>
      <c r="J70" s="46"/>
      <c r="K70" s="27">
        <f>K31/720</f>
        <v>1.0572402777777781</v>
      </c>
      <c r="L70" s="19"/>
      <c r="M70" s="24"/>
      <c r="P70" s="25"/>
    </row>
    <row r="71" spans="3:16" s="17" customFormat="1" ht="15" customHeight="1">
      <c r="C71" s="18"/>
      <c r="D71" s="20" t="s">
        <v>133</v>
      </c>
      <c r="E71" s="26" t="s">
        <v>54</v>
      </c>
      <c r="F71" s="22" t="s">
        <v>134</v>
      </c>
      <c r="G71" s="23">
        <f t="shared" si="0"/>
        <v>0</v>
      </c>
      <c r="H71" s="27"/>
      <c r="I71" s="27"/>
      <c r="J71" s="27"/>
      <c r="K71" s="46"/>
      <c r="L71" s="19"/>
      <c r="M71" s="24"/>
      <c r="P71" s="25"/>
    </row>
    <row r="72" spans="3:16" s="17" customFormat="1" ht="15" customHeight="1">
      <c r="C72" s="18"/>
      <c r="D72" s="20" t="s">
        <v>135</v>
      </c>
      <c r="E72" s="47" t="s">
        <v>57</v>
      </c>
      <c r="F72" s="22" t="s">
        <v>136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137</v>
      </c>
      <c r="E73" s="21" t="s">
        <v>60</v>
      </c>
      <c r="F73" s="48" t="s">
        <v>138</v>
      </c>
      <c r="G73" s="23">
        <f t="shared" si="0"/>
        <v>6.4458375000000006</v>
      </c>
      <c r="H73" s="23">
        <f>H74+H76+H79+H83</f>
        <v>0</v>
      </c>
      <c r="I73" s="23">
        <f>I74+I76+I79+I83</f>
        <v>4.9925694444444444</v>
      </c>
      <c r="J73" s="23">
        <f>J74+J76+J79+J83</f>
        <v>0.46496944444444449</v>
      </c>
      <c r="K73" s="23">
        <f>K74+K76+K79+K83</f>
        <v>0.98829861111111117</v>
      </c>
      <c r="L73" s="19"/>
      <c r="M73" s="24"/>
      <c r="P73" s="25"/>
    </row>
    <row r="74" spans="3:16" s="17" customFormat="1" ht="22.5">
      <c r="C74" s="18"/>
      <c r="D74" s="20" t="s">
        <v>139</v>
      </c>
      <c r="E74" s="26" t="s">
        <v>63</v>
      </c>
      <c r="F74" s="22" t="s">
        <v>140</v>
      </c>
      <c r="G74" s="23">
        <f t="shared" si="0"/>
        <v>0</v>
      </c>
      <c r="H74" s="27"/>
      <c r="I74" s="27"/>
      <c r="J74" s="27"/>
      <c r="K74" s="27"/>
      <c r="L74" s="19"/>
      <c r="M74" s="24"/>
      <c r="P74" s="25"/>
    </row>
    <row r="75" spans="3:16" s="17" customFormat="1" ht="15" customHeight="1">
      <c r="C75" s="18"/>
      <c r="D75" s="20" t="s">
        <v>141</v>
      </c>
      <c r="E75" s="49" t="s">
        <v>66</v>
      </c>
      <c r="F75" s="22" t="s">
        <v>142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143</v>
      </c>
      <c r="E76" s="26" t="s">
        <v>69</v>
      </c>
      <c r="F76" s="22" t="s">
        <v>144</v>
      </c>
      <c r="G76" s="23">
        <f t="shared" si="0"/>
        <v>2.5971208333333333</v>
      </c>
      <c r="H76" s="27"/>
      <c r="I76" s="27">
        <f>I37/720</f>
        <v>1.1438527777777776</v>
      </c>
      <c r="J76" s="27">
        <f>J37/720</f>
        <v>0.46496944444444449</v>
      </c>
      <c r="K76" s="27">
        <f>K37/720</f>
        <v>0.98829861111111117</v>
      </c>
      <c r="L76" s="19"/>
      <c r="M76" s="24"/>
      <c r="P76" s="25"/>
    </row>
    <row r="77" spans="3:16" s="17" customFormat="1" ht="15" customHeight="1">
      <c r="C77" s="18"/>
      <c r="D77" s="20" t="s">
        <v>145</v>
      </c>
      <c r="E77" s="49" t="s">
        <v>72</v>
      </c>
      <c r="F77" s="22" t="s">
        <v>146</v>
      </c>
      <c r="G77" s="23">
        <f t="shared" si="0"/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>
      <c r="C78" s="18"/>
      <c r="D78" s="20" t="s">
        <v>147</v>
      </c>
      <c r="E78" s="50" t="s">
        <v>66</v>
      </c>
      <c r="F78" s="22" t="s">
        <v>148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>
      <c r="C79" s="18"/>
      <c r="D79" s="20" t="s">
        <v>149</v>
      </c>
      <c r="E79" s="26" t="s">
        <v>77</v>
      </c>
      <c r="F79" s="22" t="s">
        <v>150</v>
      </c>
      <c r="G79" s="23">
        <f t="shared" si="0"/>
        <v>3.8487166666666668</v>
      </c>
      <c r="H79" s="23">
        <f>SUM(H80:H82)</f>
        <v>0</v>
      </c>
      <c r="I79" s="23">
        <f>SUM(I80:I82)</f>
        <v>3.8487166666666668</v>
      </c>
      <c r="J79" s="23">
        <f>SUM(J80:J82)</f>
        <v>0</v>
      </c>
      <c r="K79" s="23">
        <f>SUM(K80:K82)</f>
        <v>0</v>
      </c>
      <c r="L79" s="19"/>
      <c r="M79" s="24"/>
      <c r="P79" s="25"/>
    </row>
    <row r="80" spans="3:16" s="17" customFormat="1" ht="12.75" hidden="1" customHeight="1">
      <c r="C80" s="18"/>
      <c r="D80" s="28" t="s">
        <v>151</v>
      </c>
      <c r="E80" s="29"/>
      <c r="F80" s="30" t="s">
        <v>150</v>
      </c>
      <c r="G80" s="31"/>
      <c r="H80" s="31"/>
      <c r="I80" s="31"/>
      <c r="J80" s="31"/>
      <c r="K80" s="31"/>
      <c r="L80" s="19"/>
      <c r="M80" s="24"/>
      <c r="P80" s="25"/>
    </row>
    <row r="81" spans="3:16" s="17" customFormat="1" ht="15" customHeight="1">
      <c r="C81" s="32" t="s">
        <v>30</v>
      </c>
      <c r="D81" s="33" t="s">
        <v>152</v>
      </c>
      <c r="E81" s="34" t="s">
        <v>81</v>
      </c>
      <c r="F81" s="35">
        <v>1781</v>
      </c>
      <c r="G81" s="36">
        <f>SUM(H81:K81)</f>
        <v>3.8487166666666668</v>
      </c>
      <c r="H81" s="37"/>
      <c r="I81" s="37">
        <f>I42/720</f>
        <v>3.8487166666666668</v>
      </c>
      <c r="J81" s="37"/>
      <c r="K81" s="38"/>
      <c r="L81" s="19"/>
      <c r="M81" s="39"/>
      <c r="N81" s="40"/>
      <c r="O81" s="40"/>
    </row>
    <row r="82" spans="3:16" s="17" customFormat="1" ht="15" customHeight="1">
      <c r="C82" s="18"/>
      <c r="D82" s="41"/>
      <c r="E82" s="42" t="s">
        <v>33</v>
      </c>
      <c r="F82" s="43"/>
      <c r="G82" s="43"/>
      <c r="H82" s="43"/>
      <c r="I82" s="43"/>
      <c r="J82" s="43"/>
      <c r="K82" s="44"/>
      <c r="L82" s="19"/>
      <c r="M82" s="24"/>
      <c r="P82" s="25"/>
    </row>
    <row r="83" spans="3:16" s="17" customFormat="1" ht="15" customHeight="1">
      <c r="C83" s="18"/>
      <c r="D83" s="20" t="s">
        <v>153</v>
      </c>
      <c r="E83" s="52" t="s">
        <v>83</v>
      </c>
      <c r="F83" s="22" t="s">
        <v>154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>
      <c r="C84" s="18"/>
      <c r="D84" s="20" t="s">
        <v>155</v>
      </c>
      <c r="E84" s="21" t="s">
        <v>86</v>
      </c>
      <c r="F84" s="22" t="s">
        <v>156</v>
      </c>
      <c r="G84" s="23">
        <f t="shared" si="0"/>
        <v>2.5770291666666676</v>
      </c>
      <c r="H84" s="27"/>
      <c r="I84" s="27">
        <f>I45/720</f>
        <v>1.5197888888888893</v>
      </c>
      <c r="J84" s="27">
        <f>J45/720</f>
        <v>1.0572402777777781</v>
      </c>
      <c r="K84" s="27"/>
      <c r="L84" s="19"/>
      <c r="M84" s="24"/>
      <c r="P84" s="25"/>
    </row>
    <row r="85" spans="3:16" s="17" customFormat="1" ht="15" customHeight="1">
      <c r="C85" s="18"/>
      <c r="D85" s="20" t="s">
        <v>157</v>
      </c>
      <c r="E85" s="21" t="s">
        <v>89</v>
      </c>
      <c r="F85" s="22" t="s">
        <v>158</v>
      </c>
      <c r="G85" s="23">
        <f t="shared" si="0"/>
        <v>0</v>
      </c>
      <c r="H85" s="27"/>
      <c r="I85" s="27"/>
      <c r="J85" s="27"/>
      <c r="K85" s="27"/>
      <c r="L85" s="19"/>
      <c r="M85" s="24"/>
      <c r="P85" s="25"/>
    </row>
    <row r="86" spans="3:16" s="17" customFormat="1" ht="15" customHeight="1">
      <c r="C86" s="18"/>
      <c r="D86" s="20" t="s">
        <v>159</v>
      </c>
      <c r="E86" s="21" t="s">
        <v>92</v>
      </c>
      <c r="F86" s="22" t="s">
        <v>160</v>
      </c>
      <c r="G86" s="23">
        <f t="shared" si="0"/>
        <v>0</v>
      </c>
      <c r="H86" s="27"/>
      <c r="I86" s="27"/>
      <c r="J86" s="27"/>
      <c r="K86" s="27"/>
      <c r="L86" s="19"/>
      <c r="M86" s="24"/>
      <c r="P86" s="25"/>
    </row>
    <row r="87" spans="3:16" s="17" customFormat="1" ht="15" customHeight="1">
      <c r="C87" s="18"/>
      <c r="D87" s="20" t="s">
        <v>161</v>
      </c>
      <c r="E87" s="21" t="s">
        <v>95</v>
      </c>
      <c r="F87" s="22" t="s">
        <v>162</v>
      </c>
      <c r="G87" s="23">
        <f t="shared" si="0"/>
        <v>0.15457222222222222</v>
      </c>
      <c r="H87" s="27"/>
      <c r="I87" s="27">
        <f>I48/720</f>
        <v>6.483888888888889E-2</v>
      </c>
      <c r="J87" s="27">
        <f>J48/720</f>
        <v>2.0791666666666667E-2</v>
      </c>
      <c r="K87" s="27">
        <f>K48/720</f>
        <v>6.8941666666666665E-2</v>
      </c>
      <c r="L87" s="19"/>
      <c r="M87" s="24"/>
      <c r="P87" s="25"/>
    </row>
    <row r="88" spans="3:16" s="17" customFormat="1" ht="15" customHeight="1">
      <c r="C88" s="18"/>
      <c r="D88" s="20" t="s">
        <v>163</v>
      </c>
      <c r="E88" s="26" t="s">
        <v>164</v>
      </c>
      <c r="F88" s="22" t="s">
        <v>165</v>
      </c>
      <c r="G88" s="23">
        <f t="shared" si="0"/>
        <v>0</v>
      </c>
      <c r="H88" s="27"/>
      <c r="I88" s="27"/>
      <c r="J88" s="27"/>
      <c r="K88" s="27"/>
      <c r="L88" s="19"/>
      <c r="M88" s="24"/>
      <c r="P88" s="25"/>
    </row>
    <row r="89" spans="3:16" s="17" customFormat="1" ht="15" customHeight="1">
      <c r="C89" s="18"/>
      <c r="D89" s="20" t="s">
        <v>166</v>
      </c>
      <c r="E89" s="21" t="s">
        <v>101</v>
      </c>
      <c r="F89" s="22" t="s">
        <v>167</v>
      </c>
      <c r="G89" s="23">
        <f t="shared" si="0"/>
        <v>0.36111111111111105</v>
      </c>
      <c r="H89" s="27"/>
      <c r="I89" s="27">
        <f>I50/720</f>
        <v>6.0220638651454987E-2</v>
      </c>
      <c r="J89" s="27">
        <f>J50/720</f>
        <v>0.13918304477206161</v>
      </c>
      <c r="K89" s="27">
        <f>K50/720</f>
        <v>0.16170742768759444</v>
      </c>
      <c r="L89" s="19"/>
      <c r="M89" s="24"/>
      <c r="P89" s="25"/>
    </row>
    <row r="90" spans="3:16" s="17" customFormat="1" ht="33.75">
      <c r="C90" s="18"/>
      <c r="D90" s="20" t="s">
        <v>168</v>
      </c>
      <c r="E90" s="47" t="s">
        <v>104</v>
      </c>
      <c r="F90" s="22" t="s">
        <v>169</v>
      </c>
      <c r="G90" s="23">
        <f t="shared" si="0"/>
        <v>-0.20653888888888883</v>
      </c>
      <c r="H90" s="23">
        <f>H87-H89</f>
        <v>0</v>
      </c>
      <c r="I90" s="23">
        <f>I87-I89</f>
        <v>4.6182502374339032E-3</v>
      </c>
      <c r="J90" s="23">
        <f>J87-J89</f>
        <v>-0.11839137810539495</v>
      </c>
      <c r="K90" s="23">
        <f>K87-K89</f>
        <v>-9.2765761020927776E-2</v>
      </c>
      <c r="L90" s="19"/>
      <c r="M90" s="24"/>
      <c r="P90" s="25"/>
    </row>
    <row r="91" spans="3:16" s="17" customFormat="1" ht="15" customHeight="1">
      <c r="C91" s="18"/>
      <c r="D91" s="20" t="s">
        <v>170</v>
      </c>
      <c r="E91" s="21" t="s">
        <v>107</v>
      </c>
      <c r="F91" s="22" t="s">
        <v>171</v>
      </c>
      <c r="G91" s="23">
        <f t="shared" si="0"/>
        <v>0</v>
      </c>
      <c r="H91" s="23">
        <f>(H54+H67+H72)-(H73+H84+H85+H86+H87)</f>
        <v>0</v>
      </c>
      <c r="I91" s="23">
        <f>(I54+I67+I72)-(I73+I84+I85+I86+I87)</f>
        <v>0</v>
      </c>
      <c r="J91" s="23">
        <f>(J54+J67+J72)-(J73+J84+J85+J86+J87)</f>
        <v>0</v>
      </c>
      <c r="K91" s="23">
        <f>(K54+K67+K72)-(K73+K84+K85+K86+K87)</f>
        <v>0</v>
      </c>
      <c r="L91" s="19"/>
      <c r="M91" s="24"/>
      <c r="P91" s="25"/>
    </row>
    <row r="92" spans="3:16" s="17" customFormat="1" ht="15" customHeight="1">
      <c r="C92" s="18"/>
      <c r="D92" s="83" t="s">
        <v>172</v>
      </c>
      <c r="E92" s="84"/>
      <c r="F92" s="84"/>
      <c r="G92" s="84"/>
      <c r="H92" s="84"/>
      <c r="I92" s="84"/>
      <c r="J92" s="84"/>
      <c r="K92" s="85"/>
      <c r="L92" s="19"/>
      <c r="M92" s="24"/>
      <c r="P92" s="45"/>
    </row>
    <row r="93" spans="3:16" s="17" customFormat="1" ht="15" customHeight="1">
      <c r="C93" s="18"/>
      <c r="D93" s="20" t="s">
        <v>173</v>
      </c>
      <c r="E93" s="21" t="s">
        <v>174</v>
      </c>
      <c r="F93" s="22" t="s">
        <v>175</v>
      </c>
      <c r="G93" s="23">
        <f t="shared" si="0"/>
        <v>0</v>
      </c>
      <c r="H93" s="27"/>
      <c r="I93" s="27"/>
      <c r="J93" s="27"/>
      <c r="K93" s="27"/>
      <c r="L93" s="19"/>
      <c r="M93" s="24"/>
      <c r="P93" s="25"/>
    </row>
    <row r="94" spans="3:16" s="17" customFormat="1" ht="15" customHeight="1">
      <c r="C94" s="18"/>
      <c r="D94" s="20" t="s">
        <v>176</v>
      </c>
      <c r="E94" s="21" t="s">
        <v>177</v>
      </c>
      <c r="F94" s="22" t="s">
        <v>178</v>
      </c>
      <c r="G94" s="23">
        <f t="shared" si="0"/>
        <v>10.55</v>
      </c>
      <c r="H94" s="27"/>
      <c r="I94" s="27">
        <v>10.55</v>
      </c>
      <c r="J94" s="27"/>
      <c r="K94" s="27"/>
      <c r="L94" s="19"/>
      <c r="M94" s="24"/>
      <c r="P94" s="25"/>
    </row>
    <row r="95" spans="3:16" s="17" customFormat="1" ht="15" customHeight="1">
      <c r="C95" s="18"/>
      <c r="D95" s="20" t="s">
        <v>179</v>
      </c>
      <c r="E95" s="21" t="s">
        <v>180</v>
      </c>
      <c r="F95" s="22" t="s">
        <v>181</v>
      </c>
      <c r="G95" s="23">
        <f t="shared" si="0"/>
        <v>0</v>
      </c>
      <c r="H95" s="27"/>
      <c r="I95" s="27"/>
      <c r="J95" s="27"/>
      <c r="K95" s="27"/>
      <c r="L95" s="19"/>
      <c r="M95" s="24"/>
      <c r="P95" s="25"/>
    </row>
    <row r="96" spans="3:16" s="17" customFormat="1" ht="15" customHeight="1">
      <c r="C96" s="18"/>
      <c r="D96" s="83" t="s">
        <v>182</v>
      </c>
      <c r="E96" s="84"/>
      <c r="F96" s="84"/>
      <c r="G96" s="84"/>
      <c r="H96" s="84"/>
      <c r="I96" s="84"/>
      <c r="J96" s="84"/>
      <c r="K96" s="85"/>
      <c r="L96" s="19"/>
      <c r="M96" s="24"/>
      <c r="P96" s="45"/>
    </row>
    <row r="97" spans="3:16" s="17" customFormat="1" ht="15" customHeight="1">
      <c r="C97" s="18"/>
      <c r="D97" s="20" t="s">
        <v>183</v>
      </c>
      <c r="E97" s="21" t="s">
        <v>184</v>
      </c>
      <c r="F97" s="22" t="s">
        <v>185</v>
      </c>
      <c r="G97" s="23">
        <f t="shared" si="0"/>
        <v>0</v>
      </c>
      <c r="H97" s="23">
        <f>SUM(H98:H99)</f>
        <v>0</v>
      </c>
      <c r="I97" s="23">
        <f>SUM(I98:I99)</f>
        <v>0</v>
      </c>
      <c r="J97" s="23">
        <f>SUM(J98:J99)</f>
        <v>0</v>
      </c>
      <c r="K97" s="23">
        <f>SUM(K98:K99)</f>
        <v>0</v>
      </c>
      <c r="L97" s="19"/>
      <c r="M97" s="24"/>
      <c r="P97" s="25"/>
    </row>
    <row r="98" spans="3:16" ht="15" customHeight="1">
      <c r="C98" s="6"/>
      <c r="D98" s="54" t="s">
        <v>186</v>
      </c>
      <c r="E98" s="26" t="s">
        <v>187</v>
      </c>
      <c r="F98" s="22" t="s">
        <v>188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/>
    </row>
    <row r="99" spans="3:16" ht="15" customHeight="1">
      <c r="C99" s="6"/>
      <c r="D99" s="54" t="s">
        <v>189</v>
      </c>
      <c r="E99" s="26" t="s">
        <v>190</v>
      </c>
      <c r="F99" s="22" t="s">
        <v>191</v>
      </c>
      <c r="G99" s="23">
        <f t="shared" si="0"/>
        <v>0</v>
      </c>
      <c r="H99" s="56">
        <f>H102</f>
        <v>0</v>
      </c>
      <c r="I99" s="56">
        <f>I102</f>
        <v>0</v>
      </c>
      <c r="J99" s="56">
        <f>J102</f>
        <v>0</v>
      </c>
      <c r="K99" s="56">
        <f>K102</f>
        <v>0</v>
      </c>
      <c r="L99" s="13"/>
      <c r="M99" s="24"/>
      <c r="P99" s="25"/>
    </row>
    <row r="100" spans="3:16" ht="15" customHeight="1">
      <c r="C100" s="6"/>
      <c r="D100" s="54" t="s">
        <v>192</v>
      </c>
      <c r="E100" s="49" t="s">
        <v>193</v>
      </c>
      <c r="F100" s="22" t="s">
        <v>194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/>
    </row>
    <row r="101" spans="3:16" ht="15" customHeight="1">
      <c r="C101" s="6"/>
      <c r="D101" s="54" t="s">
        <v>195</v>
      </c>
      <c r="E101" s="50" t="s">
        <v>196</v>
      </c>
      <c r="F101" s="22" t="s">
        <v>197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5" customHeight="1">
      <c r="C102" s="6"/>
      <c r="D102" s="54" t="s">
        <v>198</v>
      </c>
      <c r="E102" s="49" t="s">
        <v>199</v>
      </c>
      <c r="F102" s="22" t="s">
        <v>200</v>
      </c>
      <c r="G102" s="23">
        <f t="shared" si="0"/>
        <v>0</v>
      </c>
      <c r="H102" s="55"/>
      <c r="I102" s="55"/>
      <c r="J102" s="55"/>
      <c r="K102" s="55"/>
      <c r="L102" s="13"/>
      <c r="M102" s="24"/>
      <c r="P102" s="25"/>
    </row>
    <row r="103" spans="3:16" ht="15" customHeight="1">
      <c r="C103" s="6"/>
      <c r="D103" s="54" t="s">
        <v>201</v>
      </c>
      <c r="E103" s="21" t="s">
        <v>202</v>
      </c>
      <c r="F103" s="22" t="s">
        <v>203</v>
      </c>
      <c r="G103" s="23">
        <f t="shared" si="0"/>
        <v>0</v>
      </c>
      <c r="H103" s="56">
        <f>H104+H120</f>
        <v>0</v>
      </c>
      <c r="I103" s="56">
        <f>I104+I120</f>
        <v>0</v>
      </c>
      <c r="J103" s="56">
        <f>J104+J120</f>
        <v>0</v>
      </c>
      <c r="K103" s="56">
        <f>K104+K120</f>
        <v>0</v>
      </c>
      <c r="L103" s="13"/>
      <c r="M103" s="24"/>
      <c r="P103" s="25"/>
    </row>
    <row r="104" spans="3:16" ht="15" customHeight="1">
      <c r="C104" s="6"/>
      <c r="D104" s="54" t="s">
        <v>204</v>
      </c>
      <c r="E104" s="26" t="s">
        <v>205</v>
      </c>
      <c r="F104" s="22" t="s">
        <v>206</v>
      </c>
      <c r="G104" s="23">
        <f t="shared" si="0"/>
        <v>0</v>
      </c>
      <c r="H104" s="56">
        <f>H105+H106</f>
        <v>0</v>
      </c>
      <c r="I104" s="56">
        <f>I105+I106</f>
        <v>0</v>
      </c>
      <c r="J104" s="56">
        <f>J105+J106</f>
        <v>0</v>
      </c>
      <c r="K104" s="56">
        <f>K105+K106</f>
        <v>0</v>
      </c>
      <c r="L104" s="13"/>
      <c r="M104" s="24"/>
      <c r="P104" s="25"/>
    </row>
    <row r="105" spans="3:16" ht="15" customHeight="1">
      <c r="C105" s="6"/>
      <c r="D105" s="54" t="s">
        <v>207</v>
      </c>
      <c r="E105" s="49" t="s">
        <v>208</v>
      </c>
      <c r="F105" s="22" t="s">
        <v>209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15" customHeight="1">
      <c r="C106" s="6"/>
      <c r="D106" s="54" t="s">
        <v>210</v>
      </c>
      <c r="E106" s="49" t="s">
        <v>211</v>
      </c>
      <c r="F106" s="22" t="s">
        <v>212</v>
      </c>
      <c r="G106" s="23">
        <f t="shared" si="0"/>
        <v>0</v>
      </c>
      <c r="H106" s="56">
        <f>H107+H110+H113+H116+H117+H118+H119</f>
        <v>0</v>
      </c>
      <c r="I106" s="56">
        <f>I107+I110+I113+I116+I117+I118+I119</f>
        <v>0</v>
      </c>
      <c r="J106" s="56">
        <f>J107+J110+J113+J116+J117+J118+J119</f>
        <v>0</v>
      </c>
      <c r="K106" s="56">
        <f>K107+K110+K113+K116+K117+K118+K119</f>
        <v>0</v>
      </c>
      <c r="L106" s="13"/>
      <c r="M106" s="24"/>
      <c r="P106" s="25"/>
    </row>
    <row r="107" spans="3:16" ht="45">
      <c r="C107" s="6"/>
      <c r="D107" s="54" t="s">
        <v>213</v>
      </c>
      <c r="E107" s="50" t="s">
        <v>214</v>
      </c>
      <c r="F107" s="22" t="s">
        <v>215</v>
      </c>
      <c r="G107" s="23">
        <f t="shared" si="0"/>
        <v>0</v>
      </c>
      <c r="H107" s="57">
        <f>H108+H109</f>
        <v>0</v>
      </c>
      <c r="I107" s="57">
        <f>I108+I109</f>
        <v>0</v>
      </c>
      <c r="J107" s="57">
        <f>J108+J109</f>
        <v>0</v>
      </c>
      <c r="K107" s="57">
        <f>K108+K109</f>
        <v>0</v>
      </c>
      <c r="L107" s="13"/>
      <c r="M107" s="24"/>
      <c r="P107" s="25"/>
    </row>
    <row r="108" spans="3:16" ht="15" customHeight="1">
      <c r="C108" s="6"/>
      <c r="D108" s="54" t="s">
        <v>216</v>
      </c>
      <c r="E108" s="58" t="s">
        <v>217</v>
      </c>
      <c r="F108" s="22" t="s">
        <v>218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15" customHeight="1">
      <c r="C109" s="6"/>
      <c r="D109" s="54" t="s">
        <v>219</v>
      </c>
      <c r="E109" s="58" t="s">
        <v>220</v>
      </c>
      <c r="F109" s="22" t="s">
        <v>221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45">
      <c r="C110" s="6"/>
      <c r="D110" s="54" t="s">
        <v>222</v>
      </c>
      <c r="E110" s="50" t="s">
        <v>223</v>
      </c>
      <c r="F110" s="22" t="s">
        <v>224</v>
      </c>
      <c r="G110" s="23">
        <f t="shared" si="0"/>
        <v>0</v>
      </c>
      <c r="H110" s="57">
        <f>H111+H112</f>
        <v>0</v>
      </c>
      <c r="I110" s="57">
        <f>I111+I112</f>
        <v>0</v>
      </c>
      <c r="J110" s="57">
        <f>J111+J112</f>
        <v>0</v>
      </c>
      <c r="K110" s="57">
        <f>K111+K112</f>
        <v>0</v>
      </c>
      <c r="L110" s="13"/>
      <c r="M110" s="24"/>
      <c r="P110" s="25"/>
    </row>
    <row r="111" spans="3:16" ht="15" customHeight="1">
      <c r="C111" s="6"/>
      <c r="D111" s="54" t="s">
        <v>225</v>
      </c>
      <c r="E111" s="58" t="s">
        <v>217</v>
      </c>
      <c r="F111" s="22" t="s">
        <v>226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>
      <c r="C112" s="6"/>
      <c r="D112" s="54" t="s">
        <v>227</v>
      </c>
      <c r="E112" s="58" t="s">
        <v>220</v>
      </c>
      <c r="F112" s="22" t="s">
        <v>228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229</v>
      </c>
      <c r="E113" s="50" t="s">
        <v>230</v>
      </c>
      <c r="F113" s="22" t="s">
        <v>231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>
      <c r="C114" s="6"/>
      <c r="D114" s="54" t="s">
        <v>232</v>
      </c>
      <c r="E114" s="58" t="s">
        <v>217</v>
      </c>
      <c r="F114" s="22" t="s">
        <v>233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234</v>
      </c>
      <c r="E115" s="58" t="s">
        <v>220</v>
      </c>
      <c r="F115" s="22" t="s">
        <v>235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5" customHeight="1">
      <c r="C116" s="6"/>
      <c r="D116" s="54" t="s">
        <v>236</v>
      </c>
      <c r="E116" s="50" t="s">
        <v>237</v>
      </c>
      <c r="F116" s="22" t="s">
        <v>238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5" customHeight="1">
      <c r="C117" s="6"/>
      <c r="D117" s="54" t="s">
        <v>239</v>
      </c>
      <c r="E117" s="50" t="s">
        <v>240</v>
      </c>
      <c r="F117" s="22" t="s">
        <v>241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9.5" customHeight="1">
      <c r="C118" s="6"/>
      <c r="D118" s="54" t="s">
        <v>242</v>
      </c>
      <c r="E118" s="50" t="s">
        <v>243</v>
      </c>
      <c r="F118" s="22" t="s">
        <v>244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3.5" customHeight="1">
      <c r="C119" s="6"/>
      <c r="D119" s="54" t="s">
        <v>245</v>
      </c>
      <c r="E119" s="50" t="s">
        <v>246</v>
      </c>
      <c r="F119" s="22" t="s">
        <v>247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248</v>
      </c>
      <c r="E120" s="26" t="s">
        <v>249</v>
      </c>
      <c r="F120" s="22" t="s">
        <v>250</v>
      </c>
      <c r="G120" s="23">
        <f t="shared" si="0"/>
        <v>0</v>
      </c>
      <c r="H120" s="56">
        <f>H123</f>
        <v>0</v>
      </c>
      <c r="I120" s="56">
        <f>I123</f>
        <v>0</v>
      </c>
      <c r="J120" s="56">
        <f>J123</f>
        <v>0</v>
      </c>
      <c r="K120" s="56">
        <f>K123</f>
        <v>0</v>
      </c>
      <c r="L120" s="13"/>
      <c r="M120" s="24"/>
      <c r="P120" s="25"/>
    </row>
    <row r="121" spans="3:16" ht="15" customHeight="1">
      <c r="C121" s="6"/>
      <c r="D121" s="54" t="s">
        <v>251</v>
      </c>
      <c r="E121" s="49" t="s">
        <v>193</v>
      </c>
      <c r="F121" s="22" t="s">
        <v>252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5" customHeight="1">
      <c r="C122" s="6"/>
      <c r="D122" s="54" t="s">
        <v>253</v>
      </c>
      <c r="E122" s="50" t="s">
        <v>254</v>
      </c>
      <c r="F122" s="22" t="s">
        <v>255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>
      <c r="C123" s="6"/>
      <c r="D123" s="54" t="s">
        <v>256</v>
      </c>
      <c r="E123" s="49" t="s">
        <v>199</v>
      </c>
      <c r="F123" s="22" t="s">
        <v>257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27" customHeight="1">
      <c r="C124" s="6"/>
      <c r="D124" s="54" t="s">
        <v>258</v>
      </c>
      <c r="E124" s="47" t="s">
        <v>259</v>
      </c>
      <c r="F124" s="22" t="s">
        <v>260</v>
      </c>
      <c r="G124" s="23">
        <f t="shared" si="0"/>
        <v>4641.0029999999997</v>
      </c>
      <c r="H124" s="56">
        <f>SUM(H125:H126)</f>
        <v>0</v>
      </c>
      <c r="I124" s="56">
        <f>SUM(I125:I126)</f>
        <v>3594.65</v>
      </c>
      <c r="J124" s="56">
        <f>SUM(J125:J126)</f>
        <v>334.77800000000002</v>
      </c>
      <c r="K124" s="56">
        <f>SUM(K125:K126)</f>
        <v>711.57500000000005</v>
      </c>
      <c r="L124" s="13"/>
      <c r="M124" s="24"/>
      <c r="P124" s="25"/>
    </row>
    <row r="125" spans="3:16" ht="15" customHeight="1">
      <c r="C125" s="6"/>
      <c r="D125" s="54" t="s">
        <v>261</v>
      </c>
      <c r="E125" s="26" t="s">
        <v>187</v>
      </c>
      <c r="F125" s="22" t="s">
        <v>262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>
      <c r="C126" s="6"/>
      <c r="D126" s="54" t="s">
        <v>263</v>
      </c>
      <c r="E126" s="26" t="s">
        <v>190</v>
      </c>
      <c r="F126" s="22" t="s">
        <v>264</v>
      </c>
      <c r="G126" s="23">
        <f t="shared" si="0"/>
        <v>4641.0029999999997</v>
      </c>
      <c r="H126" s="56">
        <f>H128</f>
        <v>0</v>
      </c>
      <c r="I126" s="56">
        <f>I128</f>
        <v>3594.65</v>
      </c>
      <c r="J126" s="56">
        <f>J128</f>
        <v>334.77800000000002</v>
      </c>
      <c r="K126" s="56">
        <f>K128</f>
        <v>711.57500000000005</v>
      </c>
      <c r="L126" s="13"/>
      <c r="M126" s="24"/>
      <c r="P126" s="25"/>
    </row>
    <row r="127" spans="3:16" ht="15" customHeight="1">
      <c r="C127" s="6"/>
      <c r="D127" s="54" t="s">
        <v>265</v>
      </c>
      <c r="E127" s="49" t="s">
        <v>266</v>
      </c>
      <c r="F127" s="22" t="s">
        <v>267</v>
      </c>
      <c r="G127" s="23">
        <f t="shared" si="0"/>
        <v>10.55</v>
      </c>
      <c r="H127" s="55"/>
      <c r="I127" s="55">
        <v>10.55</v>
      </c>
      <c r="J127" s="55"/>
      <c r="K127" s="55"/>
      <c r="L127" s="13"/>
      <c r="M127" s="24"/>
      <c r="P127" s="25"/>
    </row>
    <row r="128" spans="3:16" ht="15" customHeight="1">
      <c r="C128" s="6"/>
      <c r="D128" s="54" t="s">
        <v>268</v>
      </c>
      <c r="E128" s="49" t="s">
        <v>199</v>
      </c>
      <c r="F128" s="22" t="s">
        <v>269</v>
      </c>
      <c r="G128" s="23">
        <f t="shared" si="0"/>
        <v>4641.0029999999997</v>
      </c>
      <c r="H128" s="55"/>
      <c r="I128" s="55">
        <f>I34</f>
        <v>3594.65</v>
      </c>
      <c r="J128" s="55">
        <f>J34</f>
        <v>334.77800000000002</v>
      </c>
      <c r="K128" s="55">
        <f>K34</f>
        <v>711.57500000000005</v>
      </c>
      <c r="L128" s="13"/>
      <c r="M128" s="24"/>
      <c r="P128" s="25"/>
    </row>
    <row r="129" spans="3:16" ht="15" customHeight="1">
      <c r="C129" s="6"/>
      <c r="D129" s="83" t="s">
        <v>270</v>
      </c>
      <c r="E129" s="84"/>
      <c r="F129" s="84"/>
      <c r="G129" s="84"/>
      <c r="H129" s="84"/>
      <c r="I129" s="84"/>
      <c r="J129" s="84"/>
      <c r="K129" s="85"/>
      <c r="L129" s="13"/>
      <c r="M129" s="24"/>
      <c r="P129" s="59"/>
    </row>
    <row r="130" spans="3:16" ht="22.5">
      <c r="C130" s="6"/>
      <c r="D130" s="54" t="s">
        <v>271</v>
      </c>
      <c r="E130" s="21" t="s">
        <v>272</v>
      </c>
      <c r="F130" s="22" t="s">
        <v>273</v>
      </c>
      <c r="G130" s="23">
        <f t="shared" si="0"/>
        <v>0</v>
      </c>
      <c r="H130" s="56">
        <f>SUM( H131:H132)</f>
        <v>0</v>
      </c>
      <c r="I130" s="56">
        <f>SUM( I131:I132)</f>
        <v>0</v>
      </c>
      <c r="J130" s="56">
        <f>SUM( J131:J132)</f>
        <v>0</v>
      </c>
      <c r="K130" s="56">
        <f>SUM( K131:K132)</f>
        <v>0</v>
      </c>
      <c r="L130" s="13"/>
      <c r="M130" s="24"/>
      <c r="P130" s="25"/>
    </row>
    <row r="131" spans="3:16" ht="15" customHeight="1">
      <c r="C131" s="6"/>
      <c r="D131" s="54" t="s">
        <v>274</v>
      </c>
      <c r="E131" s="26" t="s">
        <v>187</v>
      </c>
      <c r="F131" s="22" t="s">
        <v>275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>
      <c r="C132" s="6"/>
      <c r="D132" s="54" t="s">
        <v>276</v>
      </c>
      <c r="E132" s="26" t="s">
        <v>190</v>
      </c>
      <c r="F132" s="22" t="s">
        <v>277</v>
      </c>
      <c r="G132" s="23">
        <f t="shared" si="0"/>
        <v>0</v>
      </c>
      <c r="H132" s="56">
        <f>H133+H135</f>
        <v>0</v>
      </c>
      <c r="I132" s="56">
        <f>I133+I135</f>
        <v>0</v>
      </c>
      <c r="J132" s="56">
        <f>J133+J135</f>
        <v>0</v>
      </c>
      <c r="K132" s="56">
        <f>K133+K135</f>
        <v>0</v>
      </c>
      <c r="L132" s="13"/>
      <c r="M132" s="24"/>
      <c r="P132" s="25"/>
    </row>
    <row r="133" spans="3:16" ht="15" customHeight="1">
      <c r="C133" s="6"/>
      <c r="D133" s="54" t="s">
        <v>278</v>
      </c>
      <c r="E133" s="49" t="s">
        <v>279</v>
      </c>
      <c r="F133" s="22" t="s">
        <v>280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>
      <c r="C134" s="6"/>
      <c r="D134" s="54" t="s">
        <v>281</v>
      </c>
      <c r="E134" s="50" t="s">
        <v>282</v>
      </c>
      <c r="F134" s="22" t="s">
        <v>283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59"/>
    </row>
    <row r="135" spans="3:16" ht="15" customHeight="1">
      <c r="C135" s="6"/>
      <c r="D135" s="54" t="s">
        <v>284</v>
      </c>
      <c r="E135" s="49" t="s">
        <v>285</v>
      </c>
      <c r="F135" s="22" t="s">
        <v>286</v>
      </c>
      <c r="G135" s="23">
        <f t="shared" si="0"/>
        <v>0</v>
      </c>
      <c r="H135" s="55"/>
      <c r="I135" s="55"/>
      <c r="J135" s="55"/>
      <c r="K135" s="55"/>
      <c r="L135" s="13"/>
      <c r="M135" s="24"/>
      <c r="P135" s="25"/>
    </row>
    <row r="136" spans="3:16" ht="15" customHeight="1">
      <c r="C136" s="6"/>
      <c r="D136" s="54" t="s">
        <v>29</v>
      </c>
      <c r="E136" s="21" t="s">
        <v>287</v>
      </c>
      <c r="F136" s="22" t="s">
        <v>288</v>
      </c>
      <c r="G136" s="23">
        <f t="shared" si="0"/>
        <v>0</v>
      </c>
      <c r="H136" s="57">
        <f>SUM( H137+H142)</f>
        <v>0</v>
      </c>
      <c r="I136" s="57">
        <f>SUM( I137+I142)</f>
        <v>0</v>
      </c>
      <c r="J136" s="57">
        <f>SUM( J137+J142)</f>
        <v>0</v>
      </c>
      <c r="K136" s="57">
        <f>SUM( K137+K142)</f>
        <v>0</v>
      </c>
      <c r="L136" s="60"/>
      <c r="M136" s="24"/>
      <c r="P136" s="25"/>
    </row>
    <row r="137" spans="3:16" ht="15" customHeight="1">
      <c r="C137" s="6"/>
      <c r="D137" s="54" t="s">
        <v>289</v>
      </c>
      <c r="E137" s="26" t="s">
        <v>187</v>
      </c>
      <c r="F137" s="22" t="s">
        <v>290</v>
      </c>
      <c r="G137" s="23">
        <f t="shared" ref="G137:G150" si="1">SUM(H137:K137)</f>
        <v>0</v>
      </c>
      <c r="H137" s="57">
        <f>SUM( H138:H139)</f>
        <v>0</v>
      </c>
      <c r="I137" s="57">
        <f>SUM( I138:I139)</f>
        <v>0</v>
      </c>
      <c r="J137" s="57">
        <f>SUM( J138:J139)</f>
        <v>0</v>
      </c>
      <c r="K137" s="57">
        <f>SUM( K138:K139)</f>
        <v>0</v>
      </c>
      <c r="L137" s="60"/>
      <c r="M137" s="24"/>
      <c r="P137" s="25"/>
    </row>
    <row r="138" spans="3:16" ht="15" customHeight="1">
      <c r="C138" s="6"/>
      <c r="D138" s="54" t="s">
        <v>291</v>
      </c>
      <c r="E138" s="49" t="s">
        <v>208</v>
      </c>
      <c r="F138" s="22" t="s">
        <v>292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293</v>
      </c>
      <c r="E139" s="49" t="s">
        <v>211</v>
      </c>
      <c r="F139" s="22" t="s">
        <v>294</v>
      </c>
      <c r="G139" s="23">
        <f t="shared" si="1"/>
        <v>0</v>
      </c>
      <c r="H139" s="57">
        <f>H140+H141</f>
        <v>0</v>
      </c>
      <c r="I139" s="57">
        <f>I140+I141</f>
        <v>0</v>
      </c>
      <c r="J139" s="57">
        <f>J140+J141</f>
        <v>0</v>
      </c>
      <c r="K139" s="57">
        <f>K140+K141</f>
        <v>0</v>
      </c>
      <c r="L139" s="60"/>
      <c r="M139" s="24"/>
      <c r="P139" s="25"/>
    </row>
    <row r="140" spans="3:16" ht="15" customHeight="1">
      <c r="C140" s="6"/>
      <c r="D140" s="54" t="s">
        <v>295</v>
      </c>
      <c r="E140" s="50" t="s">
        <v>217</v>
      </c>
      <c r="F140" s="22" t="s">
        <v>296</v>
      </c>
      <c r="G140" s="23">
        <f t="shared" si="1"/>
        <v>0</v>
      </c>
      <c r="H140" s="61"/>
      <c r="I140" s="61"/>
      <c r="J140" s="61"/>
      <c r="K140" s="61"/>
      <c r="L140" s="60"/>
      <c r="M140" s="24"/>
      <c r="P140" s="25"/>
    </row>
    <row r="141" spans="3:16" ht="15" customHeight="1">
      <c r="C141" s="6"/>
      <c r="D141" s="54" t="s">
        <v>297</v>
      </c>
      <c r="E141" s="50" t="s">
        <v>298</v>
      </c>
      <c r="F141" s="22" t="s">
        <v>299</v>
      </c>
      <c r="G141" s="23">
        <f t="shared" si="1"/>
        <v>0</v>
      </c>
      <c r="H141" s="61"/>
      <c r="I141" s="61"/>
      <c r="J141" s="61"/>
      <c r="K141" s="61"/>
      <c r="L141" s="60"/>
      <c r="M141" s="24"/>
      <c r="P141" s="25"/>
    </row>
    <row r="142" spans="3:16" ht="15" customHeight="1">
      <c r="C142" s="6"/>
      <c r="D142" s="54" t="s">
        <v>300</v>
      </c>
      <c r="E142" s="26" t="s">
        <v>249</v>
      </c>
      <c r="F142" s="22" t="s">
        <v>301</v>
      </c>
      <c r="G142" s="23">
        <f t="shared" si="1"/>
        <v>0</v>
      </c>
      <c r="H142" s="57">
        <f>H143+H145</f>
        <v>0</v>
      </c>
      <c r="I142" s="57">
        <f>I143+I145</f>
        <v>0</v>
      </c>
      <c r="J142" s="57">
        <f>J143+J145</f>
        <v>0</v>
      </c>
      <c r="K142" s="57">
        <f>K143+K145</f>
        <v>0</v>
      </c>
      <c r="L142" s="60"/>
      <c r="M142" s="24"/>
      <c r="P142" s="25"/>
    </row>
    <row r="143" spans="3:16" ht="15" customHeight="1">
      <c r="C143" s="6"/>
      <c r="D143" s="54" t="s">
        <v>302</v>
      </c>
      <c r="E143" s="49" t="s">
        <v>279</v>
      </c>
      <c r="F143" s="22" t="s">
        <v>303</v>
      </c>
      <c r="G143" s="23">
        <f t="shared" si="1"/>
        <v>0</v>
      </c>
      <c r="H143" s="55"/>
      <c r="I143" s="55"/>
      <c r="J143" s="55"/>
      <c r="K143" s="55"/>
      <c r="L143" s="60"/>
      <c r="M143" s="24"/>
      <c r="P143" s="25"/>
    </row>
    <row r="144" spans="3:16" ht="15" customHeight="1">
      <c r="C144" s="6"/>
      <c r="D144" s="54" t="s">
        <v>304</v>
      </c>
      <c r="E144" s="50" t="s">
        <v>282</v>
      </c>
      <c r="F144" s="22" t="s">
        <v>305</v>
      </c>
      <c r="G144" s="23">
        <f t="shared" si="1"/>
        <v>0</v>
      </c>
      <c r="H144" s="55"/>
      <c r="I144" s="55"/>
      <c r="J144" s="55"/>
      <c r="K144" s="55"/>
      <c r="L144" s="60"/>
      <c r="M144" s="24"/>
      <c r="P144" s="25"/>
    </row>
    <row r="145" spans="3:19" ht="15" customHeight="1">
      <c r="C145" s="6"/>
      <c r="D145" s="54" t="s">
        <v>306</v>
      </c>
      <c r="E145" s="49" t="s">
        <v>285</v>
      </c>
      <c r="F145" s="22" t="s">
        <v>307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/>
    </row>
    <row r="146" spans="3:19" ht="28.5" customHeight="1">
      <c r="C146" s="6"/>
      <c r="D146" s="54" t="s">
        <v>308</v>
      </c>
      <c r="E146" s="21" t="s">
        <v>309</v>
      </c>
      <c r="F146" s="22" t="s">
        <v>310</v>
      </c>
      <c r="G146" s="23">
        <f t="shared" si="1"/>
        <v>2602.9736018000003</v>
      </c>
      <c r="H146" s="63">
        <f>SUM( H147:H148)</f>
        <v>0</v>
      </c>
      <c r="I146" s="63">
        <f>SUM( I147:I148)</f>
        <v>2430.3881379800005</v>
      </c>
      <c r="J146" s="63">
        <f>SUM( J147:J148)</f>
        <v>55.218283320000005</v>
      </c>
      <c r="K146" s="63">
        <f>SUM( K147:K148)</f>
        <v>117.3671805</v>
      </c>
      <c r="L146" s="60"/>
      <c r="M146" s="24"/>
      <c r="P146" s="25"/>
    </row>
    <row r="147" spans="3:19" ht="15" customHeight="1">
      <c r="C147" s="6"/>
      <c r="D147" s="54" t="s">
        <v>311</v>
      </c>
      <c r="E147" s="26" t="s">
        <v>187</v>
      </c>
      <c r="F147" s="22" t="s">
        <v>312</v>
      </c>
      <c r="G147" s="23">
        <f t="shared" si="1"/>
        <v>0</v>
      </c>
      <c r="H147" s="62"/>
      <c r="I147" s="62"/>
      <c r="J147" s="62"/>
      <c r="K147" s="62"/>
      <c r="L147" s="60"/>
      <c r="M147" s="24"/>
      <c r="P147" s="25"/>
    </row>
    <row r="148" spans="3:19" ht="15" customHeight="1">
      <c r="C148" s="6"/>
      <c r="D148" s="54" t="s">
        <v>313</v>
      </c>
      <c r="E148" s="26" t="s">
        <v>190</v>
      </c>
      <c r="F148" s="22" t="s">
        <v>314</v>
      </c>
      <c r="G148" s="23">
        <f t="shared" si="1"/>
        <v>2602.9736018000003</v>
      </c>
      <c r="H148" s="63">
        <f>H149+H150</f>
        <v>0</v>
      </c>
      <c r="I148" s="63">
        <f>I149+I150</f>
        <v>2430.3881379800005</v>
      </c>
      <c r="J148" s="63">
        <f>J149+J150</f>
        <v>55.218283320000005</v>
      </c>
      <c r="K148" s="63">
        <f>K149+K150</f>
        <v>117.3671805</v>
      </c>
      <c r="L148" s="60"/>
      <c r="M148" s="24"/>
      <c r="P148" s="25"/>
    </row>
    <row r="149" spans="3:19" ht="15" customHeight="1">
      <c r="C149" s="6"/>
      <c r="D149" s="54" t="s">
        <v>315</v>
      </c>
      <c r="E149" s="49" t="s">
        <v>316</v>
      </c>
      <c r="F149" s="22" t="s">
        <v>317</v>
      </c>
      <c r="G149" s="23">
        <f t="shared" si="1"/>
        <v>1819.1300645000003</v>
      </c>
      <c r="H149" s="62"/>
      <c r="I149" s="62">
        <f>I127*172429.39/1000</f>
        <v>1819.1300645000003</v>
      </c>
      <c r="J149" s="62"/>
      <c r="K149" s="62"/>
      <c r="L149" s="60"/>
      <c r="M149" s="24"/>
      <c r="P149" s="25"/>
    </row>
    <row r="150" spans="3:19" ht="15" customHeight="1">
      <c r="C150" s="6"/>
      <c r="D150" s="54" t="s">
        <v>319</v>
      </c>
      <c r="E150" s="49" t="s">
        <v>285</v>
      </c>
      <c r="F150" s="22" t="s">
        <v>320</v>
      </c>
      <c r="G150" s="23">
        <f t="shared" si="1"/>
        <v>783.84353729999998</v>
      </c>
      <c r="H150" s="62"/>
      <c r="I150" s="62">
        <f>(I34+G48)*164.94/1000</f>
        <v>611.25807348000001</v>
      </c>
      <c r="J150" s="62">
        <f>J34*164.94/1000</f>
        <v>55.218283320000005</v>
      </c>
      <c r="K150" s="62">
        <f>K34*164.94/1000</f>
        <v>117.3671805</v>
      </c>
      <c r="L150" s="60"/>
      <c r="M150" s="24"/>
      <c r="P150" s="25"/>
    </row>
    <row r="151" spans="3:19">
      <c r="D151" s="11"/>
      <c r="E151" s="64"/>
      <c r="F151" s="64"/>
      <c r="G151" s="64"/>
      <c r="H151" s="64"/>
      <c r="I151" s="64"/>
      <c r="J151" s="64"/>
      <c r="K151" s="65"/>
      <c r="L151" s="65"/>
      <c r="M151" s="65"/>
      <c r="N151" s="65"/>
      <c r="O151" s="65"/>
      <c r="P151" s="65"/>
      <c r="Q151" s="65"/>
      <c r="R151" s="66"/>
      <c r="S151" s="66"/>
    </row>
    <row r="152" spans="3:19" ht="12.75">
      <c r="E152" s="24" t="s">
        <v>322</v>
      </c>
      <c r="F152" s="76" t="str">
        <f>IF([9]Титульный!G45="","",[9]Титульный!G45)</f>
        <v>экономист</v>
      </c>
      <c r="G152" s="76"/>
      <c r="H152" s="67"/>
      <c r="I152" s="76" t="str">
        <f>IF([9]Титульный!G44="","",[9]Титульный!G44)</f>
        <v>Гизикова А.Н.</v>
      </c>
      <c r="J152" s="76"/>
      <c r="K152" s="76"/>
      <c r="L152" s="67"/>
      <c r="M152" s="68"/>
      <c r="N152" s="68"/>
      <c r="O152" s="69"/>
      <c r="P152" s="65"/>
      <c r="Q152" s="65"/>
      <c r="R152" s="66"/>
      <c r="S152" s="66"/>
    </row>
    <row r="153" spans="3:19" ht="12.75">
      <c r="E153" s="70" t="s">
        <v>323</v>
      </c>
      <c r="F153" s="86" t="s">
        <v>324</v>
      </c>
      <c r="G153" s="86"/>
      <c r="H153" s="69"/>
      <c r="I153" s="86" t="s">
        <v>325</v>
      </c>
      <c r="J153" s="86"/>
      <c r="K153" s="86"/>
      <c r="L153" s="69"/>
      <c r="M153" s="86" t="s">
        <v>326</v>
      </c>
      <c r="N153" s="86"/>
      <c r="O153" s="24"/>
      <c r="P153" s="65"/>
      <c r="Q153" s="65"/>
      <c r="R153" s="66"/>
      <c r="S153" s="66"/>
    </row>
    <row r="154" spans="3:19" ht="12.75">
      <c r="E154" s="70" t="s">
        <v>327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65"/>
      <c r="Q154" s="65"/>
      <c r="R154" s="66"/>
      <c r="S154" s="66"/>
    </row>
    <row r="155" spans="3:19" ht="12.75">
      <c r="E155" s="70" t="s">
        <v>328</v>
      </c>
      <c r="F155" s="76" t="str">
        <f>IF([9]Титульный!G46="","",[9]Титульный!G46)</f>
        <v>(861) 258-50-71</v>
      </c>
      <c r="G155" s="76"/>
      <c r="H155" s="76"/>
      <c r="I155" s="24"/>
      <c r="J155" s="70" t="s">
        <v>329</v>
      </c>
      <c r="K155" s="71"/>
      <c r="L155" s="24"/>
      <c r="M155" s="24"/>
      <c r="N155" s="24"/>
      <c r="O155" s="24"/>
      <c r="P155" s="65"/>
      <c r="Q155" s="65"/>
      <c r="R155" s="66"/>
      <c r="S155" s="66"/>
    </row>
    <row r="156" spans="3:19" ht="12.75">
      <c r="E156" s="24" t="s">
        <v>330</v>
      </c>
      <c r="F156" s="87" t="s">
        <v>331</v>
      </c>
      <c r="G156" s="87"/>
      <c r="H156" s="87"/>
      <c r="I156" s="24"/>
      <c r="J156" s="72" t="s">
        <v>332</v>
      </c>
      <c r="K156" s="72"/>
      <c r="L156" s="24"/>
      <c r="M156" s="24"/>
      <c r="N156" s="24"/>
      <c r="O156" s="24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  <row r="184" spans="5:19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</row>
    <row r="185" spans="5:19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19 E58 E65 E81"/>
    <dataValidation type="decimal" allowBlank="1" showErrorMessage="1" errorTitle="Ошибка" error="Допускается ввод только действительных чисел!" sqref="G24:K26 G93:K95 G15:K19 G54:K58 G83:K91 G97:K128 G63:K65 G44:K52 G28:K42 G130:K150 G60:K61 G21:K22 G67:K81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indexed="31"/>
  </sheetPr>
  <dimension ref="A1:CC185"/>
  <sheetViews>
    <sheetView topLeftCell="C7" workbookViewId="0">
      <selection activeCell="L19" sqref="L19:Q150"/>
    </sheetView>
  </sheetViews>
  <sheetFormatPr defaultRowHeight="11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M1" s="2"/>
      <c r="BX1" s="2"/>
      <c r="BY1" s="2"/>
      <c r="CC1" s="2"/>
    </row>
    <row r="2" spans="1:81" hidden="1"/>
    <row r="3" spans="1:81" hidden="1"/>
    <row r="4" spans="1:81" hidden="1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1" hidden="1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>
      <c r="A6" s="5"/>
    </row>
    <row r="7" spans="1:81" ht="12" customHeight="1">
      <c r="A7" s="5"/>
      <c r="D7" s="6"/>
      <c r="E7" s="6"/>
      <c r="F7" s="6"/>
      <c r="G7" s="6"/>
      <c r="H7" s="6"/>
      <c r="I7" s="6"/>
      <c r="J7" s="6"/>
      <c r="K7" s="7"/>
      <c r="Q7" s="8"/>
    </row>
    <row r="8" spans="1:81" ht="22.5" customHeight="1">
      <c r="A8" s="5"/>
      <c r="D8" s="77" t="s">
        <v>341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1">
      <c r="A9" s="5"/>
      <c r="D9" s="10" t="str">
        <f>IF(org="","Не определено",org)</f>
        <v>ООО "КВЭП"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1" ht="12" customHeight="1">
      <c r="D10" s="11"/>
      <c r="E10" s="11"/>
      <c r="F10" s="6"/>
      <c r="G10" s="6"/>
      <c r="H10" s="6"/>
      <c r="I10" s="6"/>
      <c r="K10" s="12" t="s">
        <v>11</v>
      </c>
    </row>
    <row r="11" spans="1:81" ht="15" customHeight="1">
      <c r="C11" s="6"/>
      <c r="D11" s="78" t="s">
        <v>12</v>
      </c>
      <c r="E11" s="80" t="s">
        <v>13</v>
      </c>
      <c r="F11" s="80" t="s">
        <v>14</v>
      </c>
      <c r="G11" s="80" t="s">
        <v>15</v>
      </c>
      <c r="H11" s="80" t="s">
        <v>16</v>
      </c>
      <c r="I11" s="80"/>
      <c r="J11" s="80"/>
      <c r="K11" s="82"/>
      <c r="L11" s="13"/>
    </row>
    <row r="12" spans="1:81" ht="15" customHeight="1">
      <c r="C12" s="6"/>
      <c r="D12" s="79"/>
      <c r="E12" s="81"/>
      <c r="F12" s="81"/>
      <c r="G12" s="81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1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1" s="17" customFormat="1" ht="15" customHeight="1">
      <c r="C14" s="18"/>
      <c r="D14" s="83" t="s">
        <v>21</v>
      </c>
      <c r="E14" s="84"/>
      <c r="F14" s="84"/>
      <c r="G14" s="84"/>
      <c r="H14" s="84"/>
      <c r="I14" s="84"/>
      <c r="J14" s="84"/>
      <c r="K14" s="85"/>
      <c r="L14" s="19"/>
    </row>
    <row r="15" spans="1:81" s="17" customFormat="1" ht="15" customHeight="1">
      <c r="C15" s="18"/>
      <c r="D15" s="20" t="s">
        <v>22</v>
      </c>
      <c r="E15" s="21" t="s">
        <v>23</v>
      </c>
      <c r="F15" s="22">
        <v>10</v>
      </c>
      <c r="G15" s="23">
        <f>SUM(H15:K15)</f>
        <v>4000.587</v>
      </c>
      <c r="H15" s="23">
        <f>H16+H17+H21+H24</f>
        <v>0</v>
      </c>
      <c r="I15" s="23">
        <f>I16+I17+I21+I24</f>
        <v>3997.4679999999998</v>
      </c>
      <c r="J15" s="23">
        <f>J16+J17+J21+J24</f>
        <v>3.1190000000000002</v>
      </c>
      <c r="K15" s="23">
        <f>K16+K17+K21+K24</f>
        <v>0</v>
      </c>
      <c r="L15" s="19"/>
      <c r="M15" s="24"/>
      <c r="P15" s="25">
        <v>10</v>
      </c>
    </row>
    <row r="16" spans="1:81" s="17" customFormat="1" ht="15" customHeight="1">
      <c r="C16" s="18"/>
      <c r="D16" s="20" t="s">
        <v>24</v>
      </c>
      <c r="E16" s="26" t="s">
        <v>25</v>
      </c>
      <c r="F16" s="22">
        <v>20</v>
      </c>
      <c r="G16" s="23">
        <f t="shared" ref="G16:G136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>
      <c r="C17" s="18"/>
      <c r="D17" s="20" t="s">
        <v>26</v>
      </c>
      <c r="E17" s="26" t="s">
        <v>27</v>
      </c>
      <c r="F17" s="22">
        <v>30</v>
      </c>
      <c r="G17" s="23">
        <f t="shared" si="0"/>
        <v>3.1190000000000002</v>
      </c>
      <c r="H17" s="23">
        <f>SUM(H18:H20)</f>
        <v>0</v>
      </c>
      <c r="I17" s="23">
        <f>SUM(I18:I20)</f>
        <v>0</v>
      </c>
      <c r="J17" s="23">
        <f>SUM(J18:J20)</f>
        <v>3.1190000000000002</v>
      </c>
      <c r="K17" s="23">
        <f>SUM(K18:K20)</f>
        <v>0</v>
      </c>
      <c r="L17" s="19"/>
      <c r="M17" s="24"/>
      <c r="P17" s="25">
        <v>30</v>
      </c>
    </row>
    <row r="18" spans="3:16" s="17" customFormat="1" ht="12.75" hidden="1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>
      <c r="C19" s="32" t="s">
        <v>30</v>
      </c>
      <c r="D19" s="33" t="s">
        <v>31</v>
      </c>
      <c r="E19" s="34" t="s">
        <v>32</v>
      </c>
      <c r="F19" s="35">
        <v>31</v>
      </c>
      <c r="G19" s="36">
        <f>SUM(H19:K19)</f>
        <v>3.1190000000000002</v>
      </c>
      <c r="H19" s="37"/>
      <c r="I19" s="37"/>
      <c r="J19" s="37">
        <f>3119/1000</f>
        <v>3.1190000000000002</v>
      </c>
      <c r="K19" s="38"/>
      <c r="L19" s="19"/>
      <c r="M19" s="39"/>
      <c r="N19" s="40"/>
      <c r="O19" s="40"/>
    </row>
    <row r="20" spans="3:16" s="17" customFormat="1" ht="15" customHeight="1">
      <c r="C20" s="18"/>
      <c r="D20" s="41"/>
      <c r="E20" s="42" t="s">
        <v>33</v>
      </c>
      <c r="F20" s="43"/>
      <c r="G20" s="43"/>
      <c r="H20" s="43"/>
      <c r="I20" s="43"/>
      <c r="J20" s="43"/>
      <c r="K20" s="44"/>
      <c r="L20" s="19"/>
      <c r="M20" s="24"/>
      <c r="P20" s="45"/>
    </row>
    <row r="21" spans="3:16" s="17" customFormat="1" ht="15" customHeight="1">
      <c r="C21" s="18"/>
      <c r="D21" s="20" t="s">
        <v>34</v>
      </c>
      <c r="E21" s="26" t="s">
        <v>35</v>
      </c>
      <c r="F21" s="22" t="s">
        <v>36</v>
      </c>
      <c r="G21" s="23">
        <f t="shared" si="0"/>
        <v>0</v>
      </c>
      <c r="H21" s="23">
        <f>SUM(H22:H23)</f>
        <v>0</v>
      </c>
      <c r="I21" s="23">
        <f>SUM(I22:I23)</f>
        <v>0</v>
      </c>
      <c r="J21" s="23">
        <f>SUM(J22:J23)</f>
        <v>0</v>
      </c>
      <c r="K21" s="23">
        <f>SUM(K22:K23)</f>
        <v>0</v>
      </c>
      <c r="L21" s="19"/>
      <c r="M21" s="24"/>
      <c r="P21" s="45"/>
    </row>
    <row r="22" spans="3:16" s="17" customFormat="1" ht="12.75" hidden="1">
      <c r="C22" s="18"/>
      <c r="D22" s="28" t="s">
        <v>37</v>
      </c>
      <c r="E22" s="29"/>
      <c r="F22" s="30" t="s">
        <v>36</v>
      </c>
      <c r="G22" s="31"/>
      <c r="H22" s="31"/>
      <c r="I22" s="31"/>
      <c r="J22" s="31"/>
      <c r="K22" s="31"/>
      <c r="L22" s="19"/>
      <c r="M22" s="24"/>
      <c r="P22" s="25"/>
    </row>
    <row r="23" spans="3:16" s="17" customFormat="1" ht="15" customHeight="1">
      <c r="C23" s="18"/>
      <c r="D23" s="41"/>
      <c r="E23" s="42" t="s">
        <v>33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>
      <c r="C24" s="18"/>
      <c r="D24" s="20" t="s">
        <v>38</v>
      </c>
      <c r="E24" s="26" t="s">
        <v>39</v>
      </c>
      <c r="F24" s="22" t="s">
        <v>40</v>
      </c>
      <c r="G24" s="23">
        <f t="shared" si="0"/>
        <v>3997.4679999999998</v>
      </c>
      <c r="H24" s="23">
        <f>SUM(H25:H27)</f>
        <v>0</v>
      </c>
      <c r="I24" s="23">
        <f>SUM(I25:I27)</f>
        <v>3997.4679999999998</v>
      </c>
      <c r="J24" s="23">
        <f>SUM(J25:J27)</f>
        <v>0</v>
      </c>
      <c r="K24" s="23">
        <f>SUM(K25:K27)</f>
        <v>0</v>
      </c>
      <c r="L24" s="19"/>
      <c r="M24" s="24"/>
      <c r="P24" s="25"/>
    </row>
    <row r="25" spans="3:16" s="17" customFormat="1" ht="12.75" hidden="1">
      <c r="C25" s="18"/>
      <c r="D25" s="28" t="s">
        <v>41</v>
      </c>
      <c r="E25" s="29"/>
      <c r="F25" s="30" t="s">
        <v>40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>
      <c r="C26" s="32" t="s">
        <v>30</v>
      </c>
      <c r="D26" s="33" t="s">
        <v>42</v>
      </c>
      <c r="E26" s="34" t="s">
        <v>43</v>
      </c>
      <c r="F26" s="35">
        <v>431</v>
      </c>
      <c r="G26" s="36">
        <f>SUM(H26:K26)</f>
        <v>3997.4679999999998</v>
      </c>
      <c r="H26" s="37"/>
      <c r="I26" s="37">
        <f>3997468/1000</f>
        <v>3997.4679999999998</v>
      </c>
      <c r="J26" s="37"/>
      <c r="K26" s="38"/>
      <c r="L26" s="19"/>
      <c r="M26" s="39"/>
      <c r="N26" s="40"/>
      <c r="O26" s="40"/>
    </row>
    <row r="27" spans="3:16" s="17" customFormat="1" ht="15" customHeight="1">
      <c r="C27" s="18"/>
      <c r="D27" s="41"/>
      <c r="E27" s="42" t="s">
        <v>33</v>
      </c>
      <c r="F27" s="43"/>
      <c r="G27" s="43"/>
      <c r="H27" s="43"/>
      <c r="I27" s="43"/>
      <c r="J27" s="43"/>
      <c r="K27" s="44"/>
      <c r="L27" s="19"/>
      <c r="M27" s="24"/>
      <c r="P27" s="25"/>
    </row>
    <row r="28" spans="3:16" s="17" customFormat="1" ht="15" customHeight="1">
      <c r="C28" s="18"/>
      <c r="D28" s="20" t="s">
        <v>44</v>
      </c>
      <c r="E28" s="21" t="s">
        <v>45</v>
      </c>
      <c r="F28" s="22" t="s">
        <v>46</v>
      </c>
      <c r="G28" s="23">
        <f t="shared" si="0"/>
        <v>1781.8459999999993</v>
      </c>
      <c r="H28" s="23">
        <f>H30+H31+H32</f>
        <v>0</v>
      </c>
      <c r="I28" s="23">
        <f>I29+I31+I32</f>
        <v>0</v>
      </c>
      <c r="J28" s="23">
        <f>J29+J30+J32</f>
        <v>1037.6369999999997</v>
      </c>
      <c r="K28" s="23">
        <f>K29+K30+K31</f>
        <v>744.20899999999961</v>
      </c>
      <c r="L28" s="19"/>
      <c r="M28" s="24"/>
      <c r="P28" s="25"/>
    </row>
    <row r="29" spans="3:16" s="17" customFormat="1" ht="15" customHeight="1">
      <c r="C29" s="18"/>
      <c r="D29" s="20" t="s">
        <v>47</v>
      </c>
      <c r="E29" s="26" t="s">
        <v>17</v>
      </c>
      <c r="F29" s="22" t="s">
        <v>48</v>
      </c>
      <c r="G29" s="23">
        <f t="shared" si="0"/>
        <v>0</v>
      </c>
      <c r="H29" s="46"/>
      <c r="I29" s="27"/>
      <c r="J29" s="27"/>
      <c r="K29" s="27"/>
      <c r="L29" s="19"/>
      <c r="M29" s="24"/>
      <c r="P29" s="25"/>
    </row>
    <row r="30" spans="3:16" s="17" customFormat="1" ht="15" customHeight="1">
      <c r="C30" s="18"/>
      <c r="D30" s="20" t="s">
        <v>49</v>
      </c>
      <c r="E30" s="26" t="s">
        <v>18</v>
      </c>
      <c r="F30" s="22" t="s">
        <v>50</v>
      </c>
      <c r="G30" s="23">
        <f t="shared" si="0"/>
        <v>1037.6369999999997</v>
      </c>
      <c r="H30" s="27"/>
      <c r="I30" s="46"/>
      <c r="J30" s="27">
        <f>I15-I34-I48</f>
        <v>1037.6369999999997</v>
      </c>
      <c r="K30" s="27"/>
      <c r="L30" s="19"/>
      <c r="M30" s="24"/>
      <c r="P30" s="25"/>
    </row>
    <row r="31" spans="3:16" s="17" customFormat="1" ht="15" customHeight="1">
      <c r="C31" s="18"/>
      <c r="D31" s="20" t="s">
        <v>51</v>
      </c>
      <c r="E31" s="26" t="s">
        <v>19</v>
      </c>
      <c r="F31" s="22" t="s">
        <v>52</v>
      </c>
      <c r="G31" s="23">
        <f t="shared" si="0"/>
        <v>744.20899999999961</v>
      </c>
      <c r="H31" s="27"/>
      <c r="I31" s="27"/>
      <c r="J31" s="46"/>
      <c r="K31" s="27">
        <f>J15+J28-J34-J48</f>
        <v>744.20899999999961</v>
      </c>
      <c r="L31" s="19"/>
      <c r="M31" s="24"/>
      <c r="P31" s="25"/>
    </row>
    <row r="32" spans="3:16" s="17" customFormat="1" ht="15" customHeight="1">
      <c r="C32" s="18"/>
      <c r="D32" s="20" t="s">
        <v>53</v>
      </c>
      <c r="E32" s="26" t="s">
        <v>54</v>
      </c>
      <c r="F32" s="22" t="s">
        <v>55</v>
      </c>
      <c r="G32" s="23">
        <f t="shared" si="0"/>
        <v>0</v>
      </c>
      <c r="H32" s="27"/>
      <c r="I32" s="27"/>
      <c r="J32" s="27"/>
      <c r="K32" s="46"/>
      <c r="L32" s="19"/>
      <c r="M32" s="24"/>
      <c r="P32" s="25"/>
    </row>
    <row r="33" spans="3:16" s="17" customFormat="1" ht="15" customHeight="1">
      <c r="C33" s="18"/>
      <c r="D33" s="20" t="s">
        <v>56</v>
      </c>
      <c r="E33" s="47" t="s">
        <v>57</v>
      </c>
      <c r="F33" s="22" t="s">
        <v>58</v>
      </c>
      <c r="G33" s="23">
        <f t="shared" si="0"/>
        <v>0</v>
      </c>
      <c r="H33" s="27"/>
      <c r="I33" s="27"/>
      <c r="J33" s="27"/>
      <c r="K33" s="27"/>
      <c r="L33" s="19"/>
      <c r="M33" s="24"/>
      <c r="P33" s="25"/>
    </row>
    <row r="34" spans="3:16" s="17" customFormat="1" ht="15" customHeight="1">
      <c r="C34" s="18"/>
      <c r="D34" s="20" t="s">
        <v>59</v>
      </c>
      <c r="E34" s="21" t="s">
        <v>60</v>
      </c>
      <c r="F34" s="48" t="s">
        <v>61</v>
      </c>
      <c r="G34" s="23">
        <f t="shared" si="0"/>
        <v>3908.5660000000003</v>
      </c>
      <c r="H34" s="23">
        <f>H35+H37+H40+H44</f>
        <v>0</v>
      </c>
      <c r="I34" s="23">
        <f>I35+I37+I40+I44</f>
        <v>2929.8290000000002</v>
      </c>
      <c r="J34" s="23">
        <f>J35+J37+J40+J44</f>
        <v>285.77</v>
      </c>
      <c r="K34" s="23">
        <f>K35+K37+K40+K44</f>
        <v>692.96699999999998</v>
      </c>
      <c r="L34" s="19"/>
      <c r="M34" s="24"/>
      <c r="P34" s="25"/>
    </row>
    <row r="35" spans="3:16" s="17" customFormat="1" ht="22.5">
      <c r="C35" s="18"/>
      <c r="D35" s="20" t="s">
        <v>62</v>
      </c>
      <c r="E35" s="26" t="s">
        <v>63</v>
      </c>
      <c r="F35" s="22" t="s">
        <v>64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>
      <c r="C36" s="18"/>
      <c r="D36" s="20" t="s">
        <v>65</v>
      </c>
      <c r="E36" s="49" t="s">
        <v>66</v>
      </c>
      <c r="F36" s="22" t="s">
        <v>67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>
      <c r="C37" s="18"/>
      <c r="D37" s="20" t="s">
        <v>68</v>
      </c>
      <c r="E37" s="26" t="s">
        <v>69</v>
      </c>
      <c r="F37" s="22" t="s">
        <v>70</v>
      </c>
      <c r="G37" s="23">
        <f t="shared" si="0"/>
        <v>1710.7580000000003</v>
      </c>
      <c r="H37" s="27"/>
      <c r="I37" s="27">
        <f>2929829/1000-2197.808</f>
        <v>732.02100000000019</v>
      </c>
      <c r="J37" s="27">
        <f>285770/1000</f>
        <v>285.77</v>
      </c>
      <c r="K37" s="27">
        <f>692967/1000</f>
        <v>692.96699999999998</v>
      </c>
      <c r="L37" s="19"/>
      <c r="M37" s="24"/>
      <c r="P37" s="25"/>
    </row>
    <row r="38" spans="3:16" s="17" customFormat="1" ht="15" customHeight="1">
      <c r="C38" s="18"/>
      <c r="D38" s="20" t="s">
        <v>71</v>
      </c>
      <c r="E38" s="49" t="s">
        <v>72</v>
      </c>
      <c r="F38" s="22" t="s">
        <v>73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>
      <c r="C39" s="18"/>
      <c r="D39" s="20" t="s">
        <v>74</v>
      </c>
      <c r="E39" s="50" t="s">
        <v>66</v>
      </c>
      <c r="F39" s="22" t="s">
        <v>75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>
      <c r="C40" s="18"/>
      <c r="D40" s="20" t="s">
        <v>76</v>
      </c>
      <c r="E40" s="26" t="s">
        <v>77</v>
      </c>
      <c r="F40" s="22" t="s">
        <v>78</v>
      </c>
      <c r="G40" s="23">
        <f t="shared" si="0"/>
        <v>2197.808</v>
      </c>
      <c r="H40" s="23">
        <f>SUM(H41:H43)</f>
        <v>0</v>
      </c>
      <c r="I40" s="23">
        <f>SUM(I41:I43)</f>
        <v>2197.808</v>
      </c>
      <c r="J40" s="23">
        <f>SUM(J41:J43)</f>
        <v>0</v>
      </c>
      <c r="K40" s="23">
        <f>SUM(K41:K43)</f>
        <v>0</v>
      </c>
      <c r="L40" s="19"/>
      <c r="M40" s="24"/>
      <c r="P40" s="25"/>
    </row>
    <row r="41" spans="3:16" s="17" customFormat="1" ht="12.75" hidden="1">
      <c r="C41" s="18"/>
      <c r="D41" s="28" t="s">
        <v>79</v>
      </c>
      <c r="E41" s="29"/>
      <c r="F41" s="30" t="s">
        <v>78</v>
      </c>
      <c r="G41" s="31"/>
      <c r="H41" s="31"/>
      <c r="I41" s="31"/>
      <c r="J41" s="31"/>
      <c r="K41" s="31"/>
      <c r="L41" s="19"/>
      <c r="M41" s="24"/>
      <c r="P41" s="25"/>
    </row>
    <row r="42" spans="3:16" s="17" customFormat="1" ht="15" customHeight="1">
      <c r="C42" s="32" t="s">
        <v>30</v>
      </c>
      <c r="D42" s="33" t="s">
        <v>80</v>
      </c>
      <c r="E42" s="34" t="s">
        <v>81</v>
      </c>
      <c r="F42" s="35">
        <v>751</v>
      </c>
      <c r="G42" s="36">
        <f>SUM(H42:K42)</f>
        <v>2197.808</v>
      </c>
      <c r="H42" s="37"/>
      <c r="I42" s="37">
        <f>2197808/1000</f>
        <v>2197.808</v>
      </c>
      <c r="J42" s="37"/>
      <c r="K42" s="38"/>
      <c r="L42" s="19"/>
      <c r="M42" s="39"/>
      <c r="N42" s="40"/>
      <c r="O42" s="40"/>
    </row>
    <row r="43" spans="3:16" s="17" customFormat="1" ht="15" customHeight="1">
      <c r="C43" s="18"/>
      <c r="D43" s="51"/>
      <c r="E43" s="42" t="s">
        <v>33</v>
      </c>
      <c r="F43" s="43"/>
      <c r="G43" s="43"/>
      <c r="H43" s="43"/>
      <c r="I43" s="43"/>
      <c r="J43" s="43"/>
      <c r="K43" s="44"/>
      <c r="L43" s="19"/>
      <c r="M43" s="24"/>
      <c r="P43" s="25"/>
    </row>
    <row r="44" spans="3:16" s="17" customFormat="1" ht="15" customHeight="1">
      <c r="C44" s="18"/>
      <c r="D44" s="20" t="s">
        <v>82</v>
      </c>
      <c r="E44" s="52" t="s">
        <v>83</v>
      </c>
      <c r="F44" s="22" t="s">
        <v>84</v>
      </c>
      <c r="G44" s="23">
        <f t="shared" si="0"/>
        <v>0</v>
      </c>
      <c r="H44" s="27"/>
      <c r="I44" s="27"/>
      <c r="J44" s="27"/>
      <c r="K44" s="27"/>
      <c r="L44" s="19"/>
      <c r="M44" s="24"/>
      <c r="P44" s="25"/>
    </row>
    <row r="45" spans="3:16" s="17" customFormat="1" ht="15" customHeight="1">
      <c r="C45" s="18"/>
      <c r="D45" s="20" t="s">
        <v>85</v>
      </c>
      <c r="E45" s="21" t="s">
        <v>86</v>
      </c>
      <c r="F45" s="22" t="s">
        <v>87</v>
      </c>
      <c r="G45" s="23">
        <f t="shared" si="0"/>
        <v>1781.8459999999993</v>
      </c>
      <c r="H45" s="27"/>
      <c r="I45" s="27">
        <f>I15-I34-I48</f>
        <v>1037.6369999999997</v>
      </c>
      <c r="J45" s="27">
        <f>J19+J30-J37-J48</f>
        <v>744.20899999999961</v>
      </c>
      <c r="K45" s="27"/>
      <c r="L45" s="19"/>
      <c r="M45" s="24"/>
      <c r="P45" s="25"/>
    </row>
    <row r="46" spans="3:16" s="17" customFormat="1" ht="15" customHeight="1">
      <c r="C46" s="18"/>
      <c r="D46" s="20" t="s">
        <v>88</v>
      </c>
      <c r="E46" s="21" t="s">
        <v>89</v>
      </c>
      <c r="F46" s="22" t="s">
        <v>90</v>
      </c>
      <c r="G46" s="23">
        <f t="shared" si="0"/>
        <v>0</v>
      </c>
      <c r="H46" s="27"/>
      <c r="I46" s="27"/>
      <c r="J46" s="27"/>
      <c r="K46" s="27"/>
      <c r="L46" s="19"/>
      <c r="M46" s="24"/>
      <c r="P46" s="25"/>
    </row>
    <row r="47" spans="3:16" s="17" customFormat="1" ht="15" customHeight="1">
      <c r="C47" s="18"/>
      <c r="D47" s="20" t="s">
        <v>91</v>
      </c>
      <c r="E47" s="21" t="s">
        <v>92</v>
      </c>
      <c r="F47" s="22" t="s">
        <v>93</v>
      </c>
      <c r="G47" s="23">
        <f t="shared" si="0"/>
        <v>0</v>
      </c>
      <c r="H47" s="27"/>
      <c r="I47" s="27"/>
      <c r="J47" s="27"/>
      <c r="K47" s="27"/>
      <c r="L47" s="19"/>
      <c r="M47" s="24"/>
      <c r="P47" s="25"/>
    </row>
    <row r="48" spans="3:16" s="17" customFormat="1" ht="15" customHeight="1">
      <c r="C48" s="18"/>
      <c r="D48" s="20" t="s">
        <v>94</v>
      </c>
      <c r="E48" s="21" t="s">
        <v>95</v>
      </c>
      <c r="F48" s="22" t="s">
        <v>96</v>
      </c>
      <c r="G48" s="23">
        <f t="shared" si="0"/>
        <v>92.020999999999987</v>
      </c>
      <c r="H48" s="27"/>
      <c r="I48" s="27">
        <f>30002/1000</f>
        <v>30.001999999999999</v>
      </c>
      <c r="J48" s="27">
        <f>10777/1000</f>
        <v>10.776999999999999</v>
      </c>
      <c r="K48" s="27">
        <f>51242/1000</f>
        <v>51.241999999999997</v>
      </c>
      <c r="L48" s="19"/>
      <c r="M48" s="24"/>
      <c r="P48" s="25"/>
    </row>
    <row r="49" spans="3:16" s="17" customFormat="1" ht="15" customHeight="1">
      <c r="C49" s="18"/>
      <c r="D49" s="20" t="s">
        <v>97</v>
      </c>
      <c r="E49" s="26" t="s">
        <v>98</v>
      </c>
      <c r="F49" s="22" t="s">
        <v>99</v>
      </c>
      <c r="G49" s="23">
        <f t="shared" si="0"/>
        <v>0</v>
      </c>
      <c r="H49" s="27"/>
      <c r="I49" s="27"/>
      <c r="J49" s="27"/>
      <c r="K49" s="27"/>
      <c r="L49" s="19"/>
      <c r="M49" s="24"/>
      <c r="P49" s="25"/>
    </row>
    <row r="50" spans="3:16" s="17" customFormat="1" ht="15" customHeight="1">
      <c r="C50" s="18"/>
      <c r="D50" s="20" t="s">
        <v>100</v>
      </c>
      <c r="E50" s="21" t="s">
        <v>101</v>
      </c>
      <c r="F50" s="22" t="s">
        <v>102</v>
      </c>
      <c r="G50" s="23">
        <f t="shared" si="0"/>
        <v>259.99999999999994</v>
      </c>
      <c r="H50" s="27"/>
      <c r="I50" s="27">
        <v>43.358859829047589</v>
      </c>
      <c r="J50" s="27">
        <v>100.21179223588436</v>
      </c>
      <c r="K50" s="27">
        <f>112.429347935068+4</f>
        <v>116.42934793506799</v>
      </c>
      <c r="L50" s="19"/>
      <c r="M50" s="24"/>
      <c r="P50" s="45"/>
    </row>
    <row r="51" spans="3:16" s="17" customFormat="1" ht="33.75">
      <c r="C51" s="18"/>
      <c r="D51" s="20" t="s">
        <v>103</v>
      </c>
      <c r="E51" s="47" t="s">
        <v>104</v>
      </c>
      <c r="F51" s="22" t="s">
        <v>105</v>
      </c>
      <c r="G51" s="23">
        <f t="shared" si="0"/>
        <v>-167.97899999999996</v>
      </c>
      <c r="H51" s="23">
        <f>H48-H50</f>
        <v>0</v>
      </c>
      <c r="I51" s="23">
        <f>I48-I50</f>
        <v>-13.35685982904759</v>
      </c>
      <c r="J51" s="23">
        <f>J48-J50</f>
        <v>-89.434792235884359</v>
      </c>
      <c r="K51" s="23">
        <f>K48-K50</f>
        <v>-65.187347935068004</v>
      </c>
      <c r="L51" s="19"/>
      <c r="M51" s="24"/>
      <c r="P51" s="45"/>
    </row>
    <row r="52" spans="3:16" s="17" customFormat="1" ht="15" customHeight="1">
      <c r="C52" s="18"/>
      <c r="D52" s="20" t="s">
        <v>106</v>
      </c>
      <c r="E52" s="21" t="s">
        <v>107</v>
      </c>
      <c r="F52" s="22" t="s">
        <v>108</v>
      </c>
      <c r="G52" s="23">
        <f t="shared" si="0"/>
        <v>0</v>
      </c>
      <c r="H52" s="23">
        <f>(H15+H28+H33)-(H34+H45+H46+H47+H48)</f>
        <v>0</v>
      </c>
      <c r="I52" s="23">
        <f>(I15+I28+I33)-(I34+I45+I46+I47+I48)</f>
        <v>0</v>
      </c>
      <c r="J52" s="23">
        <f>(J15+J28+J33)-(J34+J45+J46+J47+J48)</f>
        <v>0</v>
      </c>
      <c r="K52" s="23">
        <f>(K15+K28+K33)-(K34+K45+K46+K47+K48)</f>
        <v>0</v>
      </c>
      <c r="L52" s="19"/>
      <c r="M52" s="24"/>
      <c r="P52" s="25"/>
    </row>
    <row r="53" spans="3:16" s="17" customFormat="1" ht="15" customHeight="1">
      <c r="C53" s="18"/>
      <c r="D53" s="83" t="s">
        <v>109</v>
      </c>
      <c r="E53" s="84"/>
      <c r="F53" s="84"/>
      <c r="G53" s="84"/>
      <c r="H53" s="84"/>
      <c r="I53" s="84"/>
      <c r="J53" s="84"/>
      <c r="K53" s="85"/>
      <c r="L53" s="19"/>
      <c r="M53" s="24"/>
      <c r="P53" s="45"/>
    </row>
    <row r="54" spans="3:16" s="17" customFormat="1" ht="15" customHeight="1">
      <c r="C54" s="18"/>
      <c r="D54" s="20" t="s">
        <v>110</v>
      </c>
      <c r="E54" s="21" t="s">
        <v>23</v>
      </c>
      <c r="F54" s="22" t="s">
        <v>111</v>
      </c>
      <c r="G54" s="23">
        <f t="shared" si="0"/>
        <v>5.5563708333333324</v>
      </c>
      <c r="H54" s="23">
        <f>H55+H56+H60+H63</f>
        <v>0</v>
      </c>
      <c r="I54" s="23">
        <f>I55+I56+I60+I63</f>
        <v>5.5520388888888883</v>
      </c>
      <c r="J54" s="23">
        <f>J55+J56+J60+J63</f>
        <v>4.3319444444444447E-3</v>
      </c>
      <c r="K54" s="23">
        <f>K55+K56+K60+K63</f>
        <v>0</v>
      </c>
      <c r="L54" s="19"/>
      <c r="M54" s="24"/>
      <c r="P54" s="25"/>
    </row>
    <row r="55" spans="3:16" s="17" customFormat="1" ht="15" customHeight="1">
      <c r="C55" s="18"/>
      <c r="D55" s="20" t="s">
        <v>112</v>
      </c>
      <c r="E55" s="26" t="s">
        <v>25</v>
      </c>
      <c r="F55" s="22" t="s">
        <v>113</v>
      </c>
      <c r="G55" s="23">
        <f t="shared" si="0"/>
        <v>0</v>
      </c>
      <c r="H55" s="27"/>
      <c r="I55" s="27"/>
      <c r="J55" s="27"/>
      <c r="K55" s="27"/>
      <c r="L55" s="19"/>
      <c r="M55" s="24"/>
      <c r="P55" s="25"/>
    </row>
    <row r="56" spans="3:16" s="17" customFormat="1" ht="15" customHeight="1">
      <c r="C56" s="18"/>
      <c r="D56" s="20" t="s">
        <v>114</v>
      </c>
      <c r="E56" s="26" t="s">
        <v>27</v>
      </c>
      <c r="F56" s="22" t="s">
        <v>115</v>
      </c>
      <c r="G56" s="23">
        <f t="shared" si="0"/>
        <v>4.3319444444444447E-3</v>
      </c>
      <c r="H56" s="23">
        <f>SUM(H57:H59)</f>
        <v>0</v>
      </c>
      <c r="I56" s="23">
        <f>SUM(I57:I59)</f>
        <v>0</v>
      </c>
      <c r="J56" s="23">
        <f>SUM(J57:J59)</f>
        <v>4.3319444444444447E-3</v>
      </c>
      <c r="K56" s="23">
        <f>SUM(K57:K59)</f>
        <v>0</v>
      </c>
      <c r="L56" s="19"/>
      <c r="M56" s="24"/>
      <c r="P56" s="25"/>
    </row>
    <row r="57" spans="3:16" s="17" customFormat="1" ht="12.75" hidden="1">
      <c r="C57" s="18"/>
      <c r="D57" s="28" t="s">
        <v>116</v>
      </c>
      <c r="E57" s="29"/>
      <c r="F57" s="30" t="s">
        <v>115</v>
      </c>
      <c r="G57" s="31"/>
      <c r="H57" s="31"/>
      <c r="I57" s="31"/>
      <c r="J57" s="31"/>
      <c r="K57" s="31"/>
      <c r="L57" s="19"/>
      <c r="M57" s="24"/>
      <c r="P57" s="25"/>
    </row>
    <row r="58" spans="3:16" s="17" customFormat="1" ht="15" customHeight="1">
      <c r="C58" s="32" t="s">
        <v>30</v>
      </c>
      <c r="D58" s="33" t="s">
        <v>117</v>
      </c>
      <c r="E58" s="34" t="s">
        <v>32</v>
      </c>
      <c r="F58" s="35">
        <v>1061</v>
      </c>
      <c r="G58" s="36">
        <f>SUM(H58:K58)</f>
        <v>4.3319444444444447E-3</v>
      </c>
      <c r="H58" s="37"/>
      <c r="I58" s="37"/>
      <c r="J58" s="37">
        <f>J19/720</f>
        <v>4.3319444444444447E-3</v>
      </c>
      <c r="K58" s="38"/>
      <c r="L58" s="19"/>
      <c r="M58" s="39"/>
      <c r="N58" s="40"/>
      <c r="O58" s="40"/>
    </row>
    <row r="59" spans="3:16" s="17" customFormat="1" ht="15" customHeight="1">
      <c r="C59" s="18"/>
      <c r="D59" s="41"/>
      <c r="E59" s="42" t="s">
        <v>33</v>
      </c>
      <c r="F59" s="43"/>
      <c r="G59" s="43"/>
      <c r="H59" s="43"/>
      <c r="I59" s="43"/>
      <c r="J59" s="43"/>
      <c r="K59" s="44"/>
      <c r="L59" s="19"/>
      <c r="M59" s="24"/>
      <c r="P59" s="25"/>
    </row>
    <row r="60" spans="3:16" s="17" customFormat="1" ht="15" customHeight="1">
      <c r="C60" s="18"/>
      <c r="D60" s="20" t="s">
        <v>118</v>
      </c>
      <c r="E60" s="26" t="s">
        <v>35</v>
      </c>
      <c r="F60" s="22" t="s">
        <v>119</v>
      </c>
      <c r="G60" s="23">
        <f t="shared" si="0"/>
        <v>0</v>
      </c>
      <c r="H60" s="23">
        <f>SUM(H61:H62)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19"/>
      <c r="M60" s="24"/>
      <c r="P60" s="25"/>
    </row>
    <row r="61" spans="3:16" s="17" customFormat="1" ht="12.75" hidden="1" customHeight="1">
      <c r="C61" s="18"/>
      <c r="D61" s="28" t="s">
        <v>120</v>
      </c>
      <c r="E61" s="29"/>
      <c r="F61" s="30" t="s">
        <v>119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customHeight="1">
      <c r="C62" s="18"/>
      <c r="D62" s="41"/>
      <c r="E62" s="42" t="s">
        <v>33</v>
      </c>
      <c r="F62" s="43"/>
      <c r="G62" s="43"/>
      <c r="H62" s="43"/>
      <c r="I62" s="43"/>
      <c r="J62" s="43"/>
      <c r="K62" s="44"/>
      <c r="L62" s="19"/>
      <c r="M62" s="24"/>
      <c r="P62" s="25"/>
    </row>
    <row r="63" spans="3:16" s="17" customFormat="1" ht="15" customHeight="1">
      <c r="C63" s="18"/>
      <c r="D63" s="20" t="s">
        <v>121</v>
      </c>
      <c r="E63" s="26" t="s">
        <v>39</v>
      </c>
      <c r="F63" s="22" t="s">
        <v>122</v>
      </c>
      <c r="G63" s="23">
        <f t="shared" si="0"/>
        <v>5.5520388888888883</v>
      </c>
      <c r="H63" s="23">
        <f>SUM(H64:H66)</f>
        <v>0</v>
      </c>
      <c r="I63" s="23">
        <f>SUM(I64:I66)</f>
        <v>5.5520388888888883</v>
      </c>
      <c r="J63" s="23">
        <f>SUM(J64:J66)</f>
        <v>0</v>
      </c>
      <c r="K63" s="23">
        <f>SUM(K64:K66)</f>
        <v>0</v>
      </c>
      <c r="L63" s="19"/>
      <c r="M63" s="24"/>
      <c r="P63" s="25"/>
    </row>
    <row r="64" spans="3:16" s="17" customFormat="1" ht="12.75" hidden="1" customHeight="1">
      <c r="C64" s="18"/>
      <c r="D64" s="28" t="s">
        <v>123</v>
      </c>
      <c r="E64" s="29"/>
      <c r="F64" s="30" t="s">
        <v>122</v>
      </c>
      <c r="G64" s="31"/>
      <c r="H64" s="31"/>
      <c r="I64" s="31"/>
      <c r="J64" s="31"/>
      <c r="K64" s="31"/>
      <c r="L64" s="19"/>
      <c r="M64" s="24"/>
      <c r="P64" s="25"/>
    </row>
    <row r="65" spans="3:16" s="17" customFormat="1" ht="15" customHeight="1">
      <c r="C65" s="32" t="s">
        <v>30</v>
      </c>
      <c r="D65" s="33" t="s">
        <v>124</v>
      </c>
      <c r="E65" s="34" t="s">
        <v>43</v>
      </c>
      <c r="F65" s="35">
        <v>1461</v>
      </c>
      <c r="G65" s="36">
        <f>SUM(H65:K65)</f>
        <v>5.5520388888888883</v>
      </c>
      <c r="H65" s="37"/>
      <c r="I65" s="37">
        <f>I26/720</f>
        <v>5.5520388888888883</v>
      </c>
      <c r="J65" s="37"/>
      <c r="K65" s="38"/>
      <c r="L65" s="19"/>
      <c r="M65" s="39"/>
      <c r="N65" s="40"/>
      <c r="O65" s="40"/>
    </row>
    <row r="66" spans="3:16" s="17" customFormat="1" ht="15" customHeight="1">
      <c r="C66" s="18"/>
      <c r="D66" s="41"/>
      <c r="E66" s="42" t="s">
        <v>33</v>
      </c>
      <c r="F66" s="43"/>
      <c r="G66" s="43"/>
      <c r="H66" s="43"/>
      <c r="I66" s="43"/>
      <c r="J66" s="43"/>
      <c r="K66" s="44"/>
      <c r="L66" s="19"/>
      <c r="M66" s="24"/>
      <c r="P66" s="25"/>
    </row>
    <row r="67" spans="3:16" s="17" customFormat="1" ht="15" customHeight="1">
      <c r="C67" s="18"/>
      <c r="D67" s="20" t="s">
        <v>125</v>
      </c>
      <c r="E67" s="21" t="s">
        <v>45</v>
      </c>
      <c r="F67" s="22" t="s">
        <v>126</v>
      </c>
      <c r="G67" s="23">
        <f t="shared" si="0"/>
        <v>2.4747861111111105</v>
      </c>
      <c r="H67" s="23">
        <f>H69+H70+H71</f>
        <v>0</v>
      </c>
      <c r="I67" s="23">
        <f>I68+I70+I71</f>
        <v>0</v>
      </c>
      <c r="J67" s="23">
        <f>J68+J69+J71</f>
        <v>1.4411624999999997</v>
      </c>
      <c r="K67" s="23">
        <f>K68+K69+K70</f>
        <v>1.0336236111111106</v>
      </c>
      <c r="L67" s="19"/>
      <c r="M67" s="24"/>
      <c r="P67" s="25"/>
    </row>
    <row r="68" spans="3:16" s="17" customFormat="1" ht="15" customHeight="1">
      <c r="C68" s="18"/>
      <c r="D68" s="20" t="s">
        <v>127</v>
      </c>
      <c r="E68" s="26" t="s">
        <v>17</v>
      </c>
      <c r="F68" s="22" t="s">
        <v>128</v>
      </c>
      <c r="G68" s="23">
        <f t="shared" si="0"/>
        <v>0</v>
      </c>
      <c r="H68" s="46"/>
      <c r="I68" s="27"/>
      <c r="J68" s="27"/>
      <c r="K68" s="27"/>
      <c r="L68" s="19"/>
      <c r="M68" s="24"/>
      <c r="P68" s="25"/>
    </row>
    <row r="69" spans="3:16" s="17" customFormat="1" ht="15" customHeight="1">
      <c r="C69" s="18"/>
      <c r="D69" s="20" t="s">
        <v>129</v>
      </c>
      <c r="E69" s="26" t="s">
        <v>18</v>
      </c>
      <c r="F69" s="22" t="s">
        <v>130</v>
      </c>
      <c r="G69" s="23">
        <f t="shared" si="0"/>
        <v>1.4411624999999997</v>
      </c>
      <c r="H69" s="27"/>
      <c r="I69" s="53"/>
      <c r="J69" s="27">
        <f>J30/720</f>
        <v>1.4411624999999997</v>
      </c>
      <c r="K69" s="27"/>
      <c r="L69" s="19"/>
      <c r="M69" s="24"/>
      <c r="P69" s="25"/>
    </row>
    <row r="70" spans="3:16" s="17" customFormat="1" ht="15" customHeight="1">
      <c r="C70" s="18"/>
      <c r="D70" s="20" t="s">
        <v>131</v>
      </c>
      <c r="E70" s="26" t="s">
        <v>19</v>
      </c>
      <c r="F70" s="22" t="s">
        <v>132</v>
      </c>
      <c r="G70" s="23">
        <f t="shared" si="0"/>
        <v>1.0336236111111106</v>
      </c>
      <c r="H70" s="27"/>
      <c r="I70" s="27"/>
      <c r="J70" s="46"/>
      <c r="K70" s="27">
        <f>K31/720</f>
        <v>1.0336236111111106</v>
      </c>
      <c r="L70" s="19"/>
      <c r="M70" s="24"/>
      <c r="P70" s="25"/>
    </row>
    <row r="71" spans="3:16" s="17" customFormat="1" ht="15" customHeight="1">
      <c r="C71" s="18"/>
      <c r="D71" s="20" t="s">
        <v>133</v>
      </c>
      <c r="E71" s="26" t="s">
        <v>54</v>
      </c>
      <c r="F71" s="22" t="s">
        <v>134</v>
      </c>
      <c r="G71" s="23">
        <f t="shared" si="0"/>
        <v>0</v>
      </c>
      <c r="H71" s="27"/>
      <c r="I71" s="27"/>
      <c r="J71" s="27"/>
      <c r="K71" s="46"/>
      <c r="L71" s="19"/>
      <c r="M71" s="24"/>
      <c r="P71" s="25"/>
    </row>
    <row r="72" spans="3:16" s="17" customFormat="1" ht="15" customHeight="1">
      <c r="C72" s="18"/>
      <c r="D72" s="20" t="s">
        <v>135</v>
      </c>
      <c r="E72" s="47" t="s">
        <v>57</v>
      </c>
      <c r="F72" s="22" t="s">
        <v>136</v>
      </c>
      <c r="G72" s="23">
        <f t="shared" si="0"/>
        <v>0</v>
      </c>
      <c r="H72" s="27"/>
      <c r="I72" s="27"/>
      <c r="J72" s="27"/>
      <c r="K72" s="27"/>
      <c r="L72" s="19"/>
      <c r="M72" s="24"/>
      <c r="P72" s="25"/>
    </row>
    <row r="73" spans="3:16" s="17" customFormat="1" ht="15" customHeight="1">
      <c r="C73" s="18"/>
      <c r="D73" s="20" t="s">
        <v>137</v>
      </c>
      <c r="E73" s="21" t="s">
        <v>60</v>
      </c>
      <c r="F73" s="48" t="s">
        <v>138</v>
      </c>
      <c r="G73" s="23">
        <f t="shared" si="0"/>
        <v>5.4285638888888892</v>
      </c>
      <c r="H73" s="23">
        <f>H74+H76+H79+H83</f>
        <v>0</v>
      </c>
      <c r="I73" s="23">
        <f>I74+I76+I79+I83</f>
        <v>4.0692069444444448</v>
      </c>
      <c r="J73" s="23">
        <f>J74+J76+J79+J83</f>
        <v>0.39690277777777777</v>
      </c>
      <c r="K73" s="23">
        <f>K74+K76+K79+K83</f>
        <v>0.96245416666666661</v>
      </c>
      <c r="L73" s="19"/>
      <c r="M73" s="24"/>
      <c r="P73" s="25"/>
    </row>
    <row r="74" spans="3:16" s="17" customFormat="1" ht="22.5">
      <c r="C74" s="18"/>
      <c r="D74" s="20" t="s">
        <v>139</v>
      </c>
      <c r="E74" s="26" t="s">
        <v>63</v>
      </c>
      <c r="F74" s="22" t="s">
        <v>140</v>
      </c>
      <c r="G74" s="23">
        <f t="shared" si="0"/>
        <v>0</v>
      </c>
      <c r="H74" s="27"/>
      <c r="I74" s="27"/>
      <c r="J74" s="27"/>
      <c r="K74" s="27"/>
      <c r="L74" s="19"/>
      <c r="M74" s="24"/>
      <c r="P74" s="25"/>
    </row>
    <row r="75" spans="3:16" s="17" customFormat="1" ht="15" customHeight="1">
      <c r="C75" s="18"/>
      <c r="D75" s="20" t="s">
        <v>141</v>
      </c>
      <c r="E75" s="49" t="s">
        <v>66</v>
      </c>
      <c r="F75" s="22" t="s">
        <v>142</v>
      </c>
      <c r="G75" s="23">
        <f t="shared" si="0"/>
        <v>0</v>
      </c>
      <c r="H75" s="27"/>
      <c r="I75" s="27"/>
      <c r="J75" s="27"/>
      <c r="K75" s="27"/>
      <c r="L75" s="19"/>
      <c r="M75" s="24"/>
      <c r="P75" s="25"/>
    </row>
    <row r="76" spans="3:16" s="17" customFormat="1" ht="15" customHeight="1">
      <c r="C76" s="18"/>
      <c r="D76" s="20" t="s">
        <v>143</v>
      </c>
      <c r="E76" s="26" t="s">
        <v>69</v>
      </c>
      <c r="F76" s="22" t="s">
        <v>144</v>
      </c>
      <c r="G76" s="23">
        <f t="shared" si="0"/>
        <v>2.3760527777777778</v>
      </c>
      <c r="H76" s="27"/>
      <c r="I76" s="27">
        <f>I37/720</f>
        <v>1.0166958333333336</v>
      </c>
      <c r="J76" s="27">
        <f>J37/720</f>
        <v>0.39690277777777777</v>
      </c>
      <c r="K76" s="27">
        <f>K37/720</f>
        <v>0.96245416666666661</v>
      </c>
      <c r="L76" s="19"/>
      <c r="M76" s="24"/>
      <c r="P76" s="25"/>
    </row>
    <row r="77" spans="3:16" s="17" customFormat="1" ht="15" customHeight="1">
      <c r="C77" s="18"/>
      <c r="D77" s="20" t="s">
        <v>145</v>
      </c>
      <c r="E77" s="49" t="s">
        <v>72</v>
      </c>
      <c r="F77" s="22" t="s">
        <v>146</v>
      </c>
      <c r="G77" s="23">
        <f t="shared" si="0"/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>
      <c r="C78" s="18"/>
      <c r="D78" s="20" t="s">
        <v>147</v>
      </c>
      <c r="E78" s="50" t="s">
        <v>66</v>
      </c>
      <c r="F78" s="22" t="s">
        <v>148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>
      <c r="C79" s="18"/>
      <c r="D79" s="20" t="s">
        <v>149</v>
      </c>
      <c r="E79" s="26" t="s">
        <v>77</v>
      </c>
      <c r="F79" s="22" t="s">
        <v>150</v>
      </c>
      <c r="G79" s="23">
        <f t="shared" si="0"/>
        <v>3.052511111111111</v>
      </c>
      <c r="H79" s="23">
        <f>SUM(H80:H82)</f>
        <v>0</v>
      </c>
      <c r="I79" s="23">
        <f>SUM(I80:I82)</f>
        <v>3.052511111111111</v>
      </c>
      <c r="J79" s="23">
        <f>SUM(J80:J82)</f>
        <v>0</v>
      </c>
      <c r="K79" s="23">
        <f>SUM(K80:K82)</f>
        <v>0</v>
      </c>
      <c r="L79" s="19"/>
      <c r="M79" s="24"/>
      <c r="P79" s="25"/>
    </row>
    <row r="80" spans="3:16" s="17" customFormat="1" ht="12.75" hidden="1" customHeight="1">
      <c r="C80" s="18"/>
      <c r="D80" s="28" t="s">
        <v>151</v>
      </c>
      <c r="E80" s="29"/>
      <c r="F80" s="30" t="s">
        <v>150</v>
      </c>
      <c r="G80" s="31"/>
      <c r="H80" s="31"/>
      <c r="I80" s="31"/>
      <c r="J80" s="31"/>
      <c r="K80" s="31"/>
      <c r="L80" s="19"/>
      <c r="M80" s="24"/>
      <c r="P80" s="25"/>
    </row>
    <row r="81" spans="3:16" s="17" customFormat="1" ht="15" customHeight="1">
      <c r="C81" s="32" t="s">
        <v>30</v>
      </c>
      <c r="D81" s="33" t="s">
        <v>152</v>
      </c>
      <c r="E81" s="34" t="s">
        <v>81</v>
      </c>
      <c r="F81" s="35">
        <v>1781</v>
      </c>
      <c r="G81" s="36">
        <f>SUM(H81:K81)</f>
        <v>3.052511111111111</v>
      </c>
      <c r="H81" s="37"/>
      <c r="I81" s="37">
        <f>I42/720</f>
        <v>3.052511111111111</v>
      </c>
      <c r="J81" s="37"/>
      <c r="K81" s="38"/>
      <c r="L81" s="19"/>
      <c r="M81" s="39"/>
      <c r="N81" s="40"/>
      <c r="O81" s="40"/>
    </row>
    <row r="82" spans="3:16" s="17" customFormat="1" ht="15" customHeight="1">
      <c r="C82" s="18"/>
      <c r="D82" s="41"/>
      <c r="E82" s="42" t="s">
        <v>33</v>
      </c>
      <c r="F82" s="43"/>
      <c r="G82" s="43"/>
      <c r="H82" s="43"/>
      <c r="I82" s="43"/>
      <c r="J82" s="43"/>
      <c r="K82" s="44"/>
      <c r="L82" s="19"/>
      <c r="M82" s="24"/>
      <c r="P82" s="25"/>
    </row>
    <row r="83" spans="3:16" s="17" customFormat="1" ht="15" customHeight="1">
      <c r="C83" s="18"/>
      <c r="D83" s="20" t="s">
        <v>153</v>
      </c>
      <c r="E83" s="52" t="s">
        <v>83</v>
      </c>
      <c r="F83" s="22" t="s">
        <v>154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>
      <c r="C84" s="18"/>
      <c r="D84" s="20" t="s">
        <v>155</v>
      </c>
      <c r="E84" s="21" t="s">
        <v>86</v>
      </c>
      <c r="F84" s="22" t="s">
        <v>156</v>
      </c>
      <c r="G84" s="23">
        <f t="shared" si="0"/>
        <v>2.4747861111111105</v>
      </c>
      <c r="H84" s="27"/>
      <c r="I84" s="27">
        <f>I45/720</f>
        <v>1.4411624999999997</v>
      </c>
      <c r="J84" s="27">
        <f>J45/720</f>
        <v>1.0336236111111106</v>
      </c>
      <c r="K84" s="27"/>
      <c r="L84" s="19"/>
      <c r="M84" s="24"/>
      <c r="P84" s="25"/>
    </row>
    <row r="85" spans="3:16" s="17" customFormat="1" ht="15" customHeight="1">
      <c r="C85" s="18"/>
      <c r="D85" s="20" t="s">
        <v>157</v>
      </c>
      <c r="E85" s="21" t="s">
        <v>89</v>
      </c>
      <c r="F85" s="22" t="s">
        <v>158</v>
      </c>
      <c r="G85" s="23">
        <f t="shared" si="0"/>
        <v>0</v>
      </c>
      <c r="H85" s="27"/>
      <c r="I85" s="27"/>
      <c r="J85" s="27"/>
      <c r="K85" s="27"/>
      <c r="L85" s="19"/>
      <c r="M85" s="24"/>
      <c r="P85" s="25"/>
    </row>
    <row r="86" spans="3:16" s="17" customFormat="1" ht="15" customHeight="1">
      <c r="C86" s="18"/>
      <c r="D86" s="20" t="s">
        <v>159</v>
      </c>
      <c r="E86" s="21" t="s">
        <v>92</v>
      </c>
      <c r="F86" s="22" t="s">
        <v>160</v>
      </c>
      <c r="G86" s="23">
        <f t="shared" si="0"/>
        <v>0</v>
      </c>
      <c r="H86" s="27"/>
      <c r="I86" s="27"/>
      <c r="J86" s="27"/>
      <c r="K86" s="27"/>
      <c r="L86" s="19"/>
      <c r="M86" s="24"/>
      <c r="P86" s="25"/>
    </row>
    <row r="87" spans="3:16" s="17" customFormat="1" ht="15" customHeight="1">
      <c r="C87" s="18"/>
      <c r="D87" s="20" t="s">
        <v>161</v>
      </c>
      <c r="E87" s="21" t="s">
        <v>95</v>
      </c>
      <c r="F87" s="22" t="s">
        <v>162</v>
      </c>
      <c r="G87" s="23">
        <f t="shared" si="0"/>
        <v>0.12780694444444443</v>
      </c>
      <c r="H87" s="27"/>
      <c r="I87" s="27">
        <f>I48/720</f>
        <v>4.166944444444444E-2</v>
      </c>
      <c r="J87" s="27">
        <f>J48/720</f>
        <v>1.4968055555555554E-2</v>
      </c>
      <c r="K87" s="27">
        <f>K48/720</f>
        <v>7.1169444444444438E-2</v>
      </c>
      <c r="L87" s="19"/>
      <c r="M87" s="24"/>
      <c r="P87" s="25"/>
    </row>
    <row r="88" spans="3:16" s="17" customFormat="1" ht="15" customHeight="1">
      <c r="C88" s="18"/>
      <c r="D88" s="20" t="s">
        <v>163</v>
      </c>
      <c r="E88" s="26" t="s">
        <v>164</v>
      </c>
      <c r="F88" s="22" t="s">
        <v>165</v>
      </c>
      <c r="G88" s="23">
        <f t="shared" si="0"/>
        <v>0</v>
      </c>
      <c r="H88" s="27"/>
      <c r="I88" s="27"/>
      <c r="J88" s="27"/>
      <c r="K88" s="27"/>
      <c r="L88" s="19"/>
      <c r="M88" s="24"/>
      <c r="P88" s="25"/>
    </row>
    <row r="89" spans="3:16" s="17" customFormat="1" ht="15" customHeight="1">
      <c r="C89" s="18"/>
      <c r="D89" s="20" t="s">
        <v>166</v>
      </c>
      <c r="E89" s="21" t="s">
        <v>101</v>
      </c>
      <c r="F89" s="22" t="s">
        <v>167</v>
      </c>
      <c r="G89" s="23">
        <f t="shared" si="0"/>
        <v>0.36111111111111105</v>
      </c>
      <c r="H89" s="27"/>
      <c r="I89" s="27">
        <f>I50/720</f>
        <v>6.0220638651454987E-2</v>
      </c>
      <c r="J89" s="27">
        <f>J50/720</f>
        <v>0.13918304477206161</v>
      </c>
      <c r="K89" s="27">
        <f>K50/720</f>
        <v>0.16170742768759444</v>
      </c>
      <c r="L89" s="19"/>
      <c r="M89" s="24"/>
      <c r="P89" s="25"/>
    </row>
    <row r="90" spans="3:16" s="17" customFormat="1" ht="33.75">
      <c r="C90" s="18"/>
      <c r="D90" s="20" t="s">
        <v>168</v>
      </c>
      <c r="E90" s="47" t="s">
        <v>104</v>
      </c>
      <c r="F90" s="22" t="s">
        <v>169</v>
      </c>
      <c r="G90" s="23">
        <f t="shared" si="0"/>
        <v>-0.23330416666666659</v>
      </c>
      <c r="H90" s="23">
        <f>H87-H89</f>
        <v>0</v>
      </c>
      <c r="I90" s="23">
        <f>I87-I89</f>
        <v>-1.8551194207010548E-2</v>
      </c>
      <c r="J90" s="23">
        <f>J87-J89</f>
        <v>-0.12421498921650606</v>
      </c>
      <c r="K90" s="23">
        <f>K87-K89</f>
        <v>-9.0537983243150003E-2</v>
      </c>
      <c r="L90" s="19"/>
      <c r="M90" s="24"/>
      <c r="P90" s="25"/>
    </row>
    <row r="91" spans="3:16" s="17" customFormat="1" ht="15" customHeight="1">
      <c r="C91" s="18"/>
      <c r="D91" s="20" t="s">
        <v>170</v>
      </c>
      <c r="E91" s="21" t="s">
        <v>107</v>
      </c>
      <c r="F91" s="22" t="s">
        <v>171</v>
      </c>
      <c r="G91" s="23">
        <f t="shared" si="0"/>
        <v>0</v>
      </c>
      <c r="H91" s="23">
        <f>(H54+H67+H72)-(H73+H84+H85+H86+H87)</f>
        <v>0</v>
      </c>
      <c r="I91" s="23">
        <f>(I54+I67+I72)-(I73+I84+I85+I86+I87)</f>
        <v>0</v>
      </c>
      <c r="J91" s="23">
        <f>(J54+J67+J72)-(J73+J84+J85+J86+J87)</f>
        <v>0</v>
      </c>
      <c r="K91" s="23">
        <f>(K54+K67+K72)-(K73+K84+K85+K86+K87)</f>
        <v>0</v>
      </c>
      <c r="L91" s="19"/>
      <c r="M91" s="24"/>
      <c r="P91" s="25"/>
    </row>
    <row r="92" spans="3:16" s="17" customFormat="1" ht="15" customHeight="1">
      <c r="C92" s="18"/>
      <c r="D92" s="83" t="s">
        <v>172</v>
      </c>
      <c r="E92" s="84"/>
      <c r="F92" s="84"/>
      <c r="G92" s="84"/>
      <c r="H92" s="84"/>
      <c r="I92" s="84"/>
      <c r="J92" s="84"/>
      <c r="K92" s="85"/>
      <c r="L92" s="19"/>
      <c r="M92" s="24"/>
      <c r="P92" s="45"/>
    </row>
    <row r="93" spans="3:16" s="17" customFormat="1" ht="15" customHeight="1">
      <c r="C93" s="18"/>
      <c r="D93" s="20" t="s">
        <v>173</v>
      </c>
      <c r="E93" s="21" t="s">
        <v>174</v>
      </c>
      <c r="F93" s="22" t="s">
        <v>175</v>
      </c>
      <c r="G93" s="23">
        <f t="shared" si="0"/>
        <v>0</v>
      </c>
      <c r="H93" s="27"/>
      <c r="I93" s="27"/>
      <c r="J93" s="27"/>
      <c r="K93" s="27"/>
      <c r="L93" s="19"/>
      <c r="M93" s="24"/>
      <c r="P93" s="25"/>
    </row>
    <row r="94" spans="3:16" s="17" customFormat="1" ht="15" customHeight="1">
      <c r="C94" s="18"/>
      <c r="D94" s="20" t="s">
        <v>176</v>
      </c>
      <c r="E94" s="21" t="s">
        <v>177</v>
      </c>
      <c r="F94" s="22" t="s">
        <v>178</v>
      </c>
      <c r="G94" s="23">
        <f t="shared" si="0"/>
        <v>10.55</v>
      </c>
      <c r="H94" s="27"/>
      <c r="I94" s="27">
        <v>10.55</v>
      </c>
      <c r="J94" s="27"/>
      <c r="K94" s="27"/>
      <c r="L94" s="19"/>
      <c r="M94" s="24"/>
      <c r="P94" s="25"/>
    </row>
    <row r="95" spans="3:16" s="17" customFormat="1" ht="15" customHeight="1">
      <c r="C95" s="18"/>
      <c r="D95" s="20" t="s">
        <v>179</v>
      </c>
      <c r="E95" s="21" t="s">
        <v>180</v>
      </c>
      <c r="F95" s="22" t="s">
        <v>181</v>
      </c>
      <c r="G95" s="23">
        <f t="shared" si="0"/>
        <v>0</v>
      </c>
      <c r="H95" s="27"/>
      <c r="I95" s="27"/>
      <c r="J95" s="27"/>
      <c r="K95" s="27"/>
      <c r="L95" s="19"/>
      <c r="M95" s="24"/>
      <c r="P95" s="25"/>
    </row>
    <row r="96" spans="3:16" s="17" customFormat="1" ht="15" customHeight="1">
      <c r="C96" s="18"/>
      <c r="D96" s="83" t="s">
        <v>182</v>
      </c>
      <c r="E96" s="84"/>
      <c r="F96" s="84"/>
      <c r="G96" s="84"/>
      <c r="H96" s="84"/>
      <c r="I96" s="84"/>
      <c r="J96" s="84"/>
      <c r="K96" s="85"/>
      <c r="L96" s="19"/>
      <c r="M96" s="24"/>
      <c r="P96" s="45"/>
    </row>
    <row r="97" spans="3:16" s="17" customFormat="1" ht="15" customHeight="1">
      <c r="C97" s="18"/>
      <c r="D97" s="20" t="s">
        <v>183</v>
      </c>
      <c r="E97" s="21" t="s">
        <v>184</v>
      </c>
      <c r="F97" s="22" t="s">
        <v>185</v>
      </c>
      <c r="G97" s="23">
        <f t="shared" si="0"/>
        <v>0</v>
      </c>
      <c r="H97" s="23">
        <f>SUM(H98:H99)</f>
        <v>0</v>
      </c>
      <c r="I97" s="23">
        <f>SUM(I98:I99)</f>
        <v>0</v>
      </c>
      <c r="J97" s="23">
        <f>SUM(J98:J99)</f>
        <v>0</v>
      </c>
      <c r="K97" s="23">
        <f>SUM(K98:K99)</f>
        <v>0</v>
      </c>
      <c r="L97" s="19"/>
      <c r="M97" s="24"/>
      <c r="P97" s="25"/>
    </row>
    <row r="98" spans="3:16" ht="15" customHeight="1">
      <c r="C98" s="6"/>
      <c r="D98" s="54" t="s">
        <v>186</v>
      </c>
      <c r="E98" s="26" t="s">
        <v>187</v>
      </c>
      <c r="F98" s="22" t="s">
        <v>188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/>
    </row>
    <row r="99" spans="3:16" ht="15" customHeight="1">
      <c r="C99" s="6"/>
      <c r="D99" s="54" t="s">
        <v>189</v>
      </c>
      <c r="E99" s="26" t="s">
        <v>190</v>
      </c>
      <c r="F99" s="22" t="s">
        <v>191</v>
      </c>
      <c r="G99" s="23">
        <f t="shared" si="0"/>
        <v>0</v>
      </c>
      <c r="H99" s="56">
        <f>H102</f>
        <v>0</v>
      </c>
      <c r="I99" s="56">
        <f>I102</f>
        <v>0</v>
      </c>
      <c r="J99" s="56">
        <f>J102</f>
        <v>0</v>
      </c>
      <c r="K99" s="56">
        <f>K102</f>
        <v>0</v>
      </c>
      <c r="L99" s="13"/>
      <c r="M99" s="24"/>
      <c r="P99" s="25"/>
    </row>
    <row r="100" spans="3:16" ht="15" customHeight="1">
      <c r="C100" s="6"/>
      <c r="D100" s="54" t="s">
        <v>192</v>
      </c>
      <c r="E100" s="49" t="s">
        <v>193</v>
      </c>
      <c r="F100" s="22" t="s">
        <v>194</v>
      </c>
      <c r="G100" s="23">
        <f t="shared" si="0"/>
        <v>0</v>
      </c>
      <c r="H100" s="55"/>
      <c r="I100" s="55"/>
      <c r="J100" s="55"/>
      <c r="K100" s="55"/>
      <c r="L100" s="13"/>
      <c r="M100" s="24"/>
      <c r="P100" s="25"/>
    </row>
    <row r="101" spans="3:16" ht="15" customHeight="1">
      <c r="C101" s="6"/>
      <c r="D101" s="54" t="s">
        <v>195</v>
      </c>
      <c r="E101" s="50" t="s">
        <v>196</v>
      </c>
      <c r="F101" s="22" t="s">
        <v>197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5" customHeight="1">
      <c r="C102" s="6"/>
      <c r="D102" s="54" t="s">
        <v>198</v>
      </c>
      <c r="E102" s="49" t="s">
        <v>199</v>
      </c>
      <c r="F102" s="22" t="s">
        <v>200</v>
      </c>
      <c r="G102" s="23">
        <f t="shared" si="0"/>
        <v>0</v>
      </c>
      <c r="H102" s="55"/>
      <c r="I102" s="55"/>
      <c r="J102" s="55"/>
      <c r="K102" s="55"/>
      <c r="L102" s="13"/>
      <c r="M102" s="24"/>
      <c r="P102" s="25"/>
    </row>
    <row r="103" spans="3:16" ht="15" customHeight="1">
      <c r="C103" s="6"/>
      <c r="D103" s="54" t="s">
        <v>201</v>
      </c>
      <c r="E103" s="21" t="s">
        <v>202</v>
      </c>
      <c r="F103" s="22" t="s">
        <v>203</v>
      </c>
      <c r="G103" s="23">
        <f t="shared" si="0"/>
        <v>0</v>
      </c>
      <c r="H103" s="56">
        <f>H104+H120</f>
        <v>0</v>
      </c>
      <c r="I103" s="56">
        <f>I104+I120</f>
        <v>0</v>
      </c>
      <c r="J103" s="56">
        <f>J104+J120</f>
        <v>0</v>
      </c>
      <c r="K103" s="56">
        <f>K104+K120</f>
        <v>0</v>
      </c>
      <c r="L103" s="13"/>
      <c r="M103" s="24"/>
      <c r="P103" s="25"/>
    </row>
    <row r="104" spans="3:16" ht="15" customHeight="1">
      <c r="C104" s="6"/>
      <c r="D104" s="54" t="s">
        <v>204</v>
      </c>
      <c r="E104" s="26" t="s">
        <v>205</v>
      </c>
      <c r="F104" s="22" t="s">
        <v>206</v>
      </c>
      <c r="G104" s="23">
        <f t="shared" si="0"/>
        <v>0</v>
      </c>
      <c r="H104" s="56">
        <f>H105+H106</f>
        <v>0</v>
      </c>
      <c r="I104" s="56">
        <f>I105+I106</f>
        <v>0</v>
      </c>
      <c r="J104" s="56">
        <f>J105+J106</f>
        <v>0</v>
      </c>
      <c r="K104" s="56">
        <f>K105+K106</f>
        <v>0</v>
      </c>
      <c r="L104" s="13"/>
      <c r="M104" s="24"/>
      <c r="P104" s="25"/>
    </row>
    <row r="105" spans="3:16" ht="15" customHeight="1">
      <c r="C105" s="6"/>
      <c r="D105" s="54" t="s">
        <v>207</v>
      </c>
      <c r="E105" s="49" t="s">
        <v>208</v>
      </c>
      <c r="F105" s="22" t="s">
        <v>209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15" customHeight="1">
      <c r="C106" s="6"/>
      <c r="D106" s="54" t="s">
        <v>210</v>
      </c>
      <c r="E106" s="49" t="s">
        <v>211</v>
      </c>
      <c r="F106" s="22" t="s">
        <v>212</v>
      </c>
      <c r="G106" s="23">
        <f t="shared" si="0"/>
        <v>0</v>
      </c>
      <c r="H106" s="56">
        <f>H107+H110+H113+H116+H117+H118+H119</f>
        <v>0</v>
      </c>
      <c r="I106" s="56">
        <f>I107+I110+I113+I116+I117+I118+I119</f>
        <v>0</v>
      </c>
      <c r="J106" s="56">
        <f>J107+J110+J113+J116+J117+J118+J119</f>
        <v>0</v>
      </c>
      <c r="K106" s="56">
        <f>K107+K110+K113+K116+K117+K118+K119</f>
        <v>0</v>
      </c>
      <c r="L106" s="13"/>
      <c r="M106" s="24"/>
      <c r="P106" s="25"/>
    </row>
    <row r="107" spans="3:16" ht="45">
      <c r="C107" s="6"/>
      <c r="D107" s="54" t="s">
        <v>213</v>
      </c>
      <c r="E107" s="50" t="s">
        <v>214</v>
      </c>
      <c r="F107" s="22" t="s">
        <v>215</v>
      </c>
      <c r="G107" s="23">
        <f t="shared" si="0"/>
        <v>0</v>
      </c>
      <c r="H107" s="57">
        <f>H108+H109</f>
        <v>0</v>
      </c>
      <c r="I107" s="57">
        <f>I108+I109</f>
        <v>0</v>
      </c>
      <c r="J107" s="57">
        <f>J108+J109</f>
        <v>0</v>
      </c>
      <c r="K107" s="57">
        <f>K108+K109</f>
        <v>0</v>
      </c>
      <c r="L107" s="13"/>
      <c r="M107" s="24"/>
      <c r="P107" s="25"/>
    </row>
    <row r="108" spans="3:16" ht="15" customHeight="1">
      <c r="C108" s="6"/>
      <c r="D108" s="54" t="s">
        <v>216</v>
      </c>
      <c r="E108" s="58" t="s">
        <v>217</v>
      </c>
      <c r="F108" s="22" t="s">
        <v>218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15" customHeight="1">
      <c r="C109" s="6"/>
      <c r="D109" s="54" t="s">
        <v>219</v>
      </c>
      <c r="E109" s="58" t="s">
        <v>220</v>
      </c>
      <c r="F109" s="22" t="s">
        <v>221</v>
      </c>
      <c r="G109" s="23">
        <f t="shared" si="0"/>
        <v>0</v>
      </c>
      <c r="H109" s="55"/>
      <c r="I109" s="55"/>
      <c r="J109" s="55"/>
      <c r="K109" s="55"/>
      <c r="L109" s="13"/>
      <c r="M109" s="24"/>
      <c r="P109" s="25"/>
    </row>
    <row r="110" spans="3:16" ht="45">
      <c r="C110" s="6"/>
      <c r="D110" s="54" t="s">
        <v>222</v>
      </c>
      <c r="E110" s="50" t="s">
        <v>223</v>
      </c>
      <c r="F110" s="22" t="s">
        <v>224</v>
      </c>
      <c r="G110" s="23">
        <f t="shared" si="0"/>
        <v>0</v>
      </c>
      <c r="H110" s="57">
        <f>H111+H112</f>
        <v>0</v>
      </c>
      <c r="I110" s="57">
        <f>I111+I112</f>
        <v>0</v>
      </c>
      <c r="J110" s="57">
        <f>J111+J112</f>
        <v>0</v>
      </c>
      <c r="K110" s="57">
        <f>K111+K112</f>
        <v>0</v>
      </c>
      <c r="L110" s="13"/>
      <c r="M110" s="24"/>
      <c r="P110" s="25"/>
    </row>
    <row r="111" spans="3:16" ht="15" customHeight="1">
      <c r="C111" s="6"/>
      <c r="D111" s="54" t="s">
        <v>225</v>
      </c>
      <c r="E111" s="58" t="s">
        <v>217</v>
      </c>
      <c r="F111" s="22" t="s">
        <v>226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>
      <c r="C112" s="6"/>
      <c r="D112" s="54" t="s">
        <v>227</v>
      </c>
      <c r="E112" s="58" t="s">
        <v>220</v>
      </c>
      <c r="F112" s="22" t="s">
        <v>228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5" customHeight="1">
      <c r="C113" s="6"/>
      <c r="D113" s="54" t="s">
        <v>229</v>
      </c>
      <c r="E113" s="50" t="s">
        <v>230</v>
      </c>
      <c r="F113" s="22" t="s">
        <v>231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>
      <c r="C114" s="6"/>
      <c r="D114" s="54" t="s">
        <v>232</v>
      </c>
      <c r="E114" s="58" t="s">
        <v>217</v>
      </c>
      <c r="F114" s="22" t="s">
        <v>233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>
      <c r="C115" s="6"/>
      <c r="D115" s="54" t="s">
        <v>234</v>
      </c>
      <c r="E115" s="58" t="s">
        <v>220</v>
      </c>
      <c r="F115" s="22" t="s">
        <v>235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5" customHeight="1">
      <c r="C116" s="6"/>
      <c r="D116" s="54" t="s">
        <v>236</v>
      </c>
      <c r="E116" s="50" t="s">
        <v>237</v>
      </c>
      <c r="F116" s="22" t="s">
        <v>238</v>
      </c>
      <c r="G116" s="23">
        <f t="shared" si="0"/>
        <v>0</v>
      </c>
      <c r="H116" s="55"/>
      <c r="I116" s="55"/>
      <c r="J116" s="55"/>
      <c r="K116" s="55"/>
      <c r="L116" s="13"/>
      <c r="M116" s="24"/>
      <c r="P116" s="25"/>
    </row>
    <row r="117" spans="3:16" ht="15" customHeight="1">
      <c r="C117" s="6"/>
      <c r="D117" s="54" t="s">
        <v>239</v>
      </c>
      <c r="E117" s="50" t="s">
        <v>240</v>
      </c>
      <c r="F117" s="22" t="s">
        <v>241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9.5" customHeight="1">
      <c r="C118" s="6"/>
      <c r="D118" s="54" t="s">
        <v>242</v>
      </c>
      <c r="E118" s="50" t="s">
        <v>243</v>
      </c>
      <c r="F118" s="22" t="s">
        <v>244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3.5" customHeight="1">
      <c r="C119" s="6"/>
      <c r="D119" s="54" t="s">
        <v>245</v>
      </c>
      <c r="E119" s="50" t="s">
        <v>246</v>
      </c>
      <c r="F119" s="22" t="s">
        <v>247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/>
    </row>
    <row r="120" spans="3:16" ht="15" customHeight="1">
      <c r="C120" s="6"/>
      <c r="D120" s="54" t="s">
        <v>248</v>
      </c>
      <c r="E120" s="26" t="s">
        <v>249</v>
      </c>
      <c r="F120" s="22" t="s">
        <v>250</v>
      </c>
      <c r="G120" s="23">
        <f t="shared" si="0"/>
        <v>0</v>
      </c>
      <c r="H120" s="56">
        <f>H123</f>
        <v>0</v>
      </c>
      <c r="I120" s="56">
        <f>I123</f>
        <v>0</v>
      </c>
      <c r="J120" s="56">
        <f>J123</f>
        <v>0</v>
      </c>
      <c r="K120" s="56">
        <f>K123</f>
        <v>0</v>
      </c>
      <c r="L120" s="13"/>
      <c r="M120" s="24"/>
      <c r="P120" s="25"/>
    </row>
    <row r="121" spans="3:16" ht="15" customHeight="1">
      <c r="C121" s="6"/>
      <c r="D121" s="54" t="s">
        <v>251</v>
      </c>
      <c r="E121" s="49" t="s">
        <v>193</v>
      </c>
      <c r="F121" s="22" t="s">
        <v>252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5" customHeight="1">
      <c r="C122" s="6"/>
      <c r="D122" s="54" t="s">
        <v>253</v>
      </c>
      <c r="E122" s="50" t="s">
        <v>254</v>
      </c>
      <c r="F122" s="22" t="s">
        <v>255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>
      <c r="C123" s="6"/>
      <c r="D123" s="54" t="s">
        <v>256</v>
      </c>
      <c r="E123" s="49" t="s">
        <v>199</v>
      </c>
      <c r="F123" s="22" t="s">
        <v>257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27" customHeight="1">
      <c r="C124" s="6"/>
      <c r="D124" s="54" t="s">
        <v>258</v>
      </c>
      <c r="E124" s="47" t="s">
        <v>259</v>
      </c>
      <c r="F124" s="22" t="s">
        <v>260</v>
      </c>
      <c r="G124" s="23">
        <f t="shared" si="0"/>
        <v>3908.5660000000003</v>
      </c>
      <c r="H124" s="56">
        <f>SUM(H125:H126)</f>
        <v>0</v>
      </c>
      <c r="I124" s="56">
        <f>SUM(I125:I126)</f>
        <v>2929.8290000000002</v>
      </c>
      <c r="J124" s="56">
        <f>SUM(J125:J126)</f>
        <v>285.77</v>
      </c>
      <c r="K124" s="56">
        <f>SUM(K125:K126)</f>
        <v>692.96699999999998</v>
      </c>
      <c r="L124" s="13"/>
      <c r="M124" s="24"/>
      <c r="P124" s="25"/>
    </row>
    <row r="125" spans="3:16" ht="15" customHeight="1">
      <c r="C125" s="6"/>
      <c r="D125" s="54" t="s">
        <v>261</v>
      </c>
      <c r="E125" s="26" t="s">
        <v>187</v>
      </c>
      <c r="F125" s="22" t="s">
        <v>262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>
      <c r="C126" s="6"/>
      <c r="D126" s="54" t="s">
        <v>263</v>
      </c>
      <c r="E126" s="26" t="s">
        <v>190</v>
      </c>
      <c r="F126" s="22" t="s">
        <v>264</v>
      </c>
      <c r="G126" s="23">
        <f t="shared" si="0"/>
        <v>3908.5660000000003</v>
      </c>
      <c r="H126" s="56">
        <f>H128</f>
        <v>0</v>
      </c>
      <c r="I126" s="56">
        <f>I128</f>
        <v>2929.8290000000002</v>
      </c>
      <c r="J126" s="56">
        <f>J128</f>
        <v>285.77</v>
      </c>
      <c r="K126" s="56">
        <f>K128</f>
        <v>692.96699999999998</v>
      </c>
      <c r="L126" s="13"/>
      <c r="M126" s="24"/>
      <c r="P126" s="25"/>
    </row>
    <row r="127" spans="3:16" ht="15" customHeight="1">
      <c r="C127" s="6"/>
      <c r="D127" s="54" t="s">
        <v>265</v>
      </c>
      <c r="E127" s="49" t="s">
        <v>266</v>
      </c>
      <c r="F127" s="22" t="s">
        <v>267</v>
      </c>
      <c r="G127" s="23">
        <f t="shared" si="0"/>
        <v>10.55</v>
      </c>
      <c r="H127" s="55"/>
      <c r="I127" s="55">
        <v>10.55</v>
      </c>
      <c r="J127" s="55"/>
      <c r="K127" s="55"/>
      <c r="L127" s="13"/>
      <c r="M127" s="24"/>
      <c r="P127" s="25"/>
    </row>
    <row r="128" spans="3:16" ht="15" customHeight="1">
      <c r="C128" s="6"/>
      <c r="D128" s="54" t="s">
        <v>268</v>
      </c>
      <c r="E128" s="49" t="s">
        <v>199</v>
      </c>
      <c r="F128" s="22" t="s">
        <v>269</v>
      </c>
      <c r="G128" s="23">
        <f t="shared" si="0"/>
        <v>3908.5660000000003</v>
      </c>
      <c r="H128" s="55"/>
      <c r="I128" s="55">
        <f>I34</f>
        <v>2929.8290000000002</v>
      </c>
      <c r="J128" s="55">
        <f>J34</f>
        <v>285.77</v>
      </c>
      <c r="K128" s="55">
        <f>K34</f>
        <v>692.96699999999998</v>
      </c>
      <c r="L128" s="13"/>
      <c r="M128" s="24"/>
      <c r="P128" s="25"/>
    </row>
    <row r="129" spans="3:16" ht="15" customHeight="1">
      <c r="C129" s="6"/>
      <c r="D129" s="83" t="s">
        <v>270</v>
      </c>
      <c r="E129" s="84"/>
      <c r="F129" s="84"/>
      <c r="G129" s="84"/>
      <c r="H129" s="84"/>
      <c r="I129" s="84"/>
      <c r="J129" s="84"/>
      <c r="K129" s="85"/>
      <c r="L129" s="13"/>
      <c r="M129" s="24"/>
      <c r="P129" s="59"/>
    </row>
    <row r="130" spans="3:16" ht="22.5">
      <c r="C130" s="6"/>
      <c r="D130" s="54" t="s">
        <v>271</v>
      </c>
      <c r="E130" s="21" t="s">
        <v>272</v>
      </c>
      <c r="F130" s="22" t="s">
        <v>273</v>
      </c>
      <c r="G130" s="23">
        <f t="shared" si="0"/>
        <v>0</v>
      </c>
      <c r="H130" s="56">
        <f>SUM( H131:H132)</f>
        <v>0</v>
      </c>
      <c r="I130" s="56">
        <f>SUM( I131:I132)</f>
        <v>0</v>
      </c>
      <c r="J130" s="56">
        <f>SUM( J131:J132)</f>
        <v>0</v>
      </c>
      <c r="K130" s="56">
        <f>SUM( K131:K132)</f>
        <v>0</v>
      </c>
      <c r="L130" s="13"/>
      <c r="M130" s="24"/>
      <c r="P130" s="25"/>
    </row>
    <row r="131" spans="3:16" ht="15" customHeight="1">
      <c r="C131" s="6"/>
      <c r="D131" s="54" t="s">
        <v>274</v>
      </c>
      <c r="E131" s="26" t="s">
        <v>187</v>
      </c>
      <c r="F131" s="22" t="s">
        <v>275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>
      <c r="C132" s="6"/>
      <c r="D132" s="54" t="s">
        <v>276</v>
      </c>
      <c r="E132" s="26" t="s">
        <v>190</v>
      </c>
      <c r="F132" s="22" t="s">
        <v>277</v>
      </c>
      <c r="G132" s="23">
        <f t="shared" si="0"/>
        <v>0</v>
      </c>
      <c r="H132" s="56">
        <f>H133+H135</f>
        <v>0</v>
      </c>
      <c r="I132" s="56">
        <f>I133+I135</f>
        <v>0</v>
      </c>
      <c r="J132" s="56">
        <f>J133+J135</f>
        <v>0</v>
      </c>
      <c r="K132" s="56">
        <f>K133+K135</f>
        <v>0</v>
      </c>
      <c r="L132" s="13"/>
      <c r="M132" s="24"/>
      <c r="P132" s="25"/>
    </row>
    <row r="133" spans="3:16" ht="15" customHeight="1">
      <c r="C133" s="6"/>
      <c r="D133" s="54" t="s">
        <v>278</v>
      </c>
      <c r="E133" s="49" t="s">
        <v>279</v>
      </c>
      <c r="F133" s="22" t="s">
        <v>280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>
      <c r="C134" s="6"/>
      <c r="D134" s="54" t="s">
        <v>281</v>
      </c>
      <c r="E134" s="50" t="s">
        <v>282</v>
      </c>
      <c r="F134" s="22" t="s">
        <v>283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59"/>
    </row>
    <row r="135" spans="3:16" ht="15" customHeight="1">
      <c r="C135" s="6"/>
      <c r="D135" s="54" t="s">
        <v>284</v>
      </c>
      <c r="E135" s="49" t="s">
        <v>285</v>
      </c>
      <c r="F135" s="22" t="s">
        <v>286</v>
      </c>
      <c r="G135" s="23">
        <f t="shared" si="0"/>
        <v>0</v>
      </c>
      <c r="H135" s="55"/>
      <c r="I135" s="55"/>
      <c r="J135" s="55"/>
      <c r="K135" s="55"/>
      <c r="L135" s="13"/>
      <c r="M135" s="24"/>
      <c r="P135" s="25"/>
    </row>
    <row r="136" spans="3:16" ht="15" customHeight="1">
      <c r="C136" s="6"/>
      <c r="D136" s="54" t="s">
        <v>29</v>
      </c>
      <c r="E136" s="21" t="s">
        <v>287</v>
      </c>
      <c r="F136" s="22" t="s">
        <v>288</v>
      </c>
      <c r="G136" s="23">
        <f t="shared" si="0"/>
        <v>0</v>
      </c>
      <c r="H136" s="57">
        <f>SUM( H137+H142)</f>
        <v>0</v>
      </c>
      <c r="I136" s="57">
        <f>SUM( I137+I142)</f>
        <v>0</v>
      </c>
      <c r="J136" s="57">
        <f>SUM( J137+J142)</f>
        <v>0</v>
      </c>
      <c r="K136" s="57">
        <f>SUM( K137+K142)</f>
        <v>0</v>
      </c>
      <c r="L136" s="60"/>
      <c r="M136" s="24"/>
      <c r="P136" s="25"/>
    </row>
    <row r="137" spans="3:16" ht="15" customHeight="1">
      <c r="C137" s="6"/>
      <c r="D137" s="54" t="s">
        <v>289</v>
      </c>
      <c r="E137" s="26" t="s">
        <v>187</v>
      </c>
      <c r="F137" s="22" t="s">
        <v>290</v>
      </c>
      <c r="G137" s="23">
        <f t="shared" ref="G137:G150" si="1">SUM(H137:K137)</f>
        <v>0</v>
      </c>
      <c r="H137" s="57">
        <f>SUM( H138:H139)</f>
        <v>0</v>
      </c>
      <c r="I137" s="57">
        <f>SUM( I138:I139)</f>
        <v>0</v>
      </c>
      <c r="J137" s="57">
        <f>SUM( J138:J139)</f>
        <v>0</v>
      </c>
      <c r="K137" s="57">
        <f>SUM( K138:K139)</f>
        <v>0</v>
      </c>
      <c r="L137" s="60"/>
      <c r="M137" s="24"/>
      <c r="P137" s="25"/>
    </row>
    <row r="138" spans="3:16" ht="15" customHeight="1">
      <c r="C138" s="6"/>
      <c r="D138" s="54" t="s">
        <v>291</v>
      </c>
      <c r="E138" s="49" t="s">
        <v>208</v>
      </c>
      <c r="F138" s="22" t="s">
        <v>292</v>
      </c>
      <c r="G138" s="23">
        <f t="shared" si="1"/>
        <v>0</v>
      </c>
      <c r="H138" s="61"/>
      <c r="I138" s="61"/>
      <c r="J138" s="61"/>
      <c r="K138" s="61"/>
      <c r="L138" s="60"/>
      <c r="M138" s="24"/>
      <c r="P138" s="25"/>
    </row>
    <row r="139" spans="3:16" ht="15" customHeight="1">
      <c r="C139" s="6"/>
      <c r="D139" s="54" t="s">
        <v>293</v>
      </c>
      <c r="E139" s="49" t="s">
        <v>211</v>
      </c>
      <c r="F139" s="22" t="s">
        <v>294</v>
      </c>
      <c r="G139" s="23">
        <f t="shared" si="1"/>
        <v>0</v>
      </c>
      <c r="H139" s="57">
        <f>H140+H141</f>
        <v>0</v>
      </c>
      <c r="I139" s="57">
        <f>I140+I141</f>
        <v>0</v>
      </c>
      <c r="J139" s="57">
        <f>J140+J141</f>
        <v>0</v>
      </c>
      <c r="K139" s="57">
        <f>K140+K141</f>
        <v>0</v>
      </c>
      <c r="L139" s="60"/>
      <c r="M139" s="24"/>
      <c r="P139" s="25"/>
    </row>
    <row r="140" spans="3:16" ht="15" customHeight="1">
      <c r="C140" s="6"/>
      <c r="D140" s="54" t="s">
        <v>295</v>
      </c>
      <c r="E140" s="50" t="s">
        <v>217</v>
      </c>
      <c r="F140" s="22" t="s">
        <v>296</v>
      </c>
      <c r="G140" s="23">
        <f t="shared" si="1"/>
        <v>0</v>
      </c>
      <c r="H140" s="61"/>
      <c r="I140" s="61"/>
      <c r="J140" s="61"/>
      <c r="K140" s="61"/>
      <c r="L140" s="60"/>
      <c r="M140" s="24"/>
      <c r="P140" s="25"/>
    </row>
    <row r="141" spans="3:16" ht="15" customHeight="1">
      <c r="C141" s="6"/>
      <c r="D141" s="54" t="s">
        <v>297</v>
      </c>
      <c r="E141" s="50" t="s">
        <v>298</v>
      </c>
      <c r="F141" s="22" t="s">
        <v>299</v>
      </c>
      <c r="G141" s="23">
        <f t="shared" si="1"/>
        <v>0</v>
      </c>
      <c r="H141" s="61"/>
      <c r="I141" s="61"/>
      <c r="J141" s="61"/>
      <c r="K141" s="61"/>
      <c r="L141" s="60"/>
      <c r="M141" s="24"/>
      <c r="P141" s="25"/>
    </row>
    <row r="142" spans="3:16" ht="15" customHeight="1">
      <c r="C142" s="6"/>
      <c r="D142" s="54" t="s">
        <v>300</v>
      </c>
      <c r="E142" s="26" t="s">
        <v>249</v>
      </c>
      <c r="F142" s="22" t="s">
        <v>301</v>
      </c>
      <c r="G142" s="23">
        <f t="shared" si="1"/>
        <v>0</v>
      </c>
      <c r="H142" s="57">
        <f>H143+H145</f>
        <v>0</v>
      </c>
      <c r="I142" s="57">
        <f>I143+I145</f>
        <v>0</v>
      </c>
      <c r="J142" s="57">
        <f>J143+J145</f>
        <v>0</v>
      </c>
      <c r="K142" s="57">
        <f>K143+K145</f>
        <v>0</v>
      </c>
      <c r="L142" s="60"/>
      <c r="M142" s="24"/>
      <c r="P142" s="25"/>
    </row>
    <row r="143" spans="3:16" ht="15" customHeight="1">
      <c r="C143" s="6"/>
      <c r="D143" s="54" t="s">
        <v>302</v>
      </c>
      <c r="E143" s="49" t="s">
        <v>279</v>
      </c>
      <c r="F143" s="22" t="s">
        <v>303</v>
      </c>
      <c r="G143" s="23">
        <f t="shared" si="1"/>
        <v>0</v>
      </c>
      <c r="H143" s="55"/>
      <c r="I143" s="55"/>
      <c r="J143" s="55"/>
      <c r="K143" s="55"/>
      <c r="L143" s="60"/>
      <c r="M143" s="24"/>
      <c r="P143" s="25"/>
    </row>
    <row r="144" spans="3:16" ht="15" customHeight="1">
      <c r="C144" s="6"/>
      <c r="D144" s="54" t="s">
        <v>304</v>
      </c>
      <c r="E144" s="50" t="s">
        <v>282</v>
      </c>
      <c r="F144" s="22" t="s">
        <v>305</v>
      </c>
      <c r="G144" s="23">
        <f t="shared" si="1"/>
        <v>0</v>
      </c>
      <c r="H144" s="55"/>
      <c r="I144" s="55"/>
      <c r="J144" s="55"/>
      <c r="K144" s="55"/>
      <c r="L144" s="60"/>
      <c r="M144" s="24"/>
      <c r="P144" s="25"/>
    </row>
    <row r="145" spans="3:19" ht="15" customHeight="1">
      <c r="C145" s="6"/>
      <c r="D145" s="54" t="s">
        <v>306</v>
      </c>
      <c r="E145" s="49" t="s">
        <v>285</v>
      </c>
      <c r="F145" s="22" t="s">
        <v>307</v>
      </c>
      <c r="G145" s="23">
        <f t="shared" si="1"/>
        <v>0</v>
      </c>
      <c r="H145" s="62"/>
      <c r="I145" s="62"/>
      <c r="J145" s="62"/>
      <c r="K145" s="62"/>
      <c r="L145" s="60"/>
      <c r="M145" s="24"/>
      <c r="P145" s="25"/>
    </row>
    <row r="146" spans="3:19" ht="28.5" customHeight="1">
      <c r="C146" s="6"/>
      <c r="D146" s="54" t="s">
        <v>308</v>
      </c>
      <c r="E146" s="21" t="s">
        <v>309</v>
      </c>
      <c r="F146" s="22" t="s">
        <v>310</v>
      </c>
      <c r="G146" s="23">
        <f t="shared" si="1"/>
        <v>2478.9868842800001</v>
      </c>
      <c r="H146" s="63">
        <f>SUM( H147:H148)</f>
        <v>0</v>
      </c>
      <c r="I146" s="63">
        <f>SUM( I147:I148)</f>
        <v>2317.5540035000004</v>
      </c>
      <c r="J146" s="63">
        <f>SUM( J147:J148)</f>
        <v>47.134903799999989</v>
      </c>
      <c r="K146" s="63">
        <f>SUM( K147:K148)</f>
        <v>114.29797697999999</v>
      </c>
      <c r="L146" s="60"/>
      <c r="M146" s="24"/>
      <c r="P146" s="25"/>
    </row>
    <row r="147" spans="3:19" ht="15" customHeight="1">
      <c r="C147" s="6"/>
      <c r="D147" s="54" t="s">
        <v>311</v>
      </c>
      <c r="E147" s="26" t="s">
        <v>187</v>
      </c>
      <c r="F147" s="22" t="s">
        <v>312</v>
      </c>
      <c r="G147" s="23">
        <f t="shared" si="1"/>
        <v>0</v>
      </c>
      <c r="H147" s="62"/>
      <c r="I147" s="62"/>
      <c r="J147" s="62"/>
      <c r="K147" s="62"/>
      <c r="L147" s="60"/>
      <c r="M147" s="24"/>
      <c r="P147" s="25"/>
    </row>
    <row r="148" spans="3:19" ht="15" customHeight="1">
      <c r="C148" s="6"/>
      <c r="D148" s="54" t="s">
        <v>313</v>
      </c>
      <c r="E148" s="26" t="s">
        <v>190</v>
      </c>
      <c r="F148" s="22" t="s">
        <v>314</v>
      </c>
      <c r="G148" s="23">
        <f t="shared" si="1"/>
        <v>2478.9868842800001</v>
      </c>
      <c r="H148" s="63">
        <f>H149+H150</f>
        <v>0</v>
      </c>
      <c r="I148" s="63">
        <f>I149+I150</f>
        <v>2317.5540035000004</v>
      </c>
      <c r="J148" s="63">
        <f>J149+J150</f>
        <v>47.134903799999989</v>
      </c>
      <c r="K148" s="63">
        <f>K149+K150</f>
        <v>114.29797697999999</v>
      </c>
      <c r="L148" s="60"/>
      <c r="M148" s="24"/>
      <c r="P148" s="25"/>
    </row>
    <row r="149" spans="3:19" ht="15" customHeight="1">
      <c r="C149" s="6"/>
      <c r="D149" s="54" t="s">
        <v>315</v>
      </c>
      <c r="E149" s="49" t="s">
        <v>316</v>
      </c>
      <c r="F149" s="22" t="s">
        <v>317</v>
      </c>
      <c r="G149" s="23">
        <f t="shared" si="1"/>
        <v>1819.1300645000003</v>
      </c>
      <c r="H149" s="62"/>
      <c r="I149" s="62">
        <f>I127*172429.39/1000</f>
        <v>1819.1300645000003</v>
      </c>
      <c r="J149" s="62"/>
      <c r="K149" s="62"/>
      <c r="L149" s="60"/>
      <c r="M149" s="24"/>
      <c r="P149" s="25"/>
    </row>
    <row r="150" spans="3:19" ht="15" customHeight="1">
      <c r="C150" s="6"/>
      <c r="D150" s="54" t="s">
        <v>319</v>
      </c>
      <c r="E150" s="49" t="s">
        <v>285</v>
      </c>
      <c r="F150" s="22" t="s">
        <v>320</v>
      </c>
      <c r="G150" s="23">
        <f t="shared" si="1"/>
        <v>659.85681978000002</v>
      </c>
      <c r="H150" s="62"/>
      <c r="I150" s="62">
        <f>(I34+G48)*164.94/1000</f>
        <v>498.42393900000008</v>
      </c>
      <c r="J150" s="62">
        <f>J34*164.94/1000</f>
        <v>47.134903799999989</v>
      </c>
      <c r="K150" s="62">
        <f>K34*164.94/1000</f>
        <v>114.29797697999999</v>
      </c>
      <c r="L150" s="60"/>
      <c r="M150" s="24"/>
      <c r="P150" s="25"/>
    </row>
    <row r="151" spans="3:19">
      <c r="D151" s="11"/>
      <c r="E151" s="64"/>
      <c r="F151" s="64"/>
      <c r="G151" s="64"/>
      <c r="H151" s="64"/>
      <c r="I151" s="64"/>
      <c r="J151" s="64"/>
      <c r="K151" s="65"/>
      <c r="L151" s="65"/>
      <c r="M151" s="65"/>
      <c r="N151" s="65"/>
      <c r="O151" s="65"/>
      <c r="P151" s="65"/>
      <c r="Q151" s="65"/>
      <c r="R151" s="66"/>
      <c r="S151" s="66"/>
    </row>
    <row r="152" spans="3:19" ht="12.75">
      <c r="E152" s="24" t="s">
        <v>322</v>
      </c>
      <c r="F152" s="76" t="str">
        <f>IF([10]Титульный!G45="","",[10]Титульный!G45)</f>
        <v>экономист</v>
      </c>
      <c r="G152" s="76"/>
      <c r="H152" s="67"/>
      <c r="I152" s="76" t="str">
        <f>IF([10]Титульный!G44="","",[10]Титульный!G44)</f>
        <v>Гизикова А.Н.</v>
      </c>
      <c r="J152" s="76"/>
      <c r="K152" s="76"/>
      <c r="L152" s="67"/>
      <c r="M152" s="68"/>
      <c r="N152" s="68"/>
      <c r="O152" s="69"/>
      <c r="P152" s="65"/>
      <c r="Q152" s="65"/>
      <c r="R152" s="66"/>
      <c r="S152" s="66"/>
    </row>
    <row r="153" spans="3:19" ht="12.75">
      <c r="E153" s="70" t="s">
        <v>323</v>
      </c>
      <c r="F153" s="86" t="s">
        <v>324</v>
      </c>
      <c r="G153" s="86"/>
      <c r="H153" s="69"/>
      <c r="I153" s="86" t="s">
        <v>325</v>
      </c>
      <c r="J153" s="86"/>
      <c r="K153" s="86"/>
      <c r="L153" s="69"/>
      <c r="M153" s="86" t="s">
        <v>326</v>
      </c>
      <c r="N153" s="86"/>
      <c r="O153" s="24"/>
      <c r="P153" s="65"/>
      <c r="Q153" s="65"/>
      <c r="R153" s="66"/>
      <c r="S153" s="66"/>
    </row>
    <row r="154" spans="3:19" ht="12.75">
      <c r="E154" s="70" t="s">
        <v>327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65"/>
      <c r="Q154" s="65"/>
      <c r="R154" s="66"/>
      <c r="S154" s="66"/>
    </row>
    <row r="155" spans="3:19" ht="12.75">
      <c r="E155" s="70" t="s">
        <v>328</v>
      </c>
      <c r="F155" s="76" t="str">
        <f>IF([10]Титульный!G46="","",[10]Титульный!G46)</f>
        <v>(861) 258-50-71</v>
      </c>
      <c r="G155" s="76"/>
      <c r="H155" s="76"/>
      <c r="I155" s="24"/>
      <c r="J155" s="70" t="s">
        <v>329</v>
      </c>
      <c r="K155" s="71"/>
      <c r="L155" s="24"/>
      <c r="M155" s="24"/>
      <c r="N155" s="24"/>
      <c r="O155" s="24"/>
      <c r="P155" s="65"/>
      <c r="Q155" s="65"/>
      <c r="R155" s="66"/>
      <c r="S155" s="66"/>
    </row>
    <row r="156" spans="3:19" ht="12.75">
      <c r="E156" s="24" t="s">
        <v>330</v>
      </c>
      <c r="F156" s="87" t="s">
        <v>331</v>
      </c>
      <c r="G156" s="87"/>
      <c r="H156" s="87"/>
      <c r="I156" s="24"/>
      <c r="J156" s="72" t="s">
        <v>332</v>
      </c>
      <c r="K156" s="72"/>
      <c r="L156" s="24"/>
      <c r="M156" s="24"/>
      <c r="N156" s="24"/>
      <c r="O156" s="24"/>
      <c r="P156" s="65"/>
      <c r="Q156" s="65"/>
      <c r="R156" s="66"/>
      <c r="S156" s="66"/>
    </row>
    <row r="157" spans="3:19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</row>
    <row r="183" spans="5:19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</row>
    <row r="184" spans="5:19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</row>
    <row r="185" spans="5:19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19 E58 E65 E81"/>
    <dataValidation type="decimal" allowBlank="1" showErrorMessage="1" errorTitle="Ошибка" error="Допускается ввод только действительных чисел!" sqref="G24:K26 G93:K95 G15:K19 G54:K58 G83:K91 G97:K128 G63:K65 G44:K52 G28:K42 G130:K150 G60:K61 G21:K22 G67:K81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30</vt:i4>
      </vt:variant>
    </vt:vector>
  </HeadingPairs>
  <TitlesOfParts>
    <vt:vector size="4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2019 год</vt:lpstr>
      <vt:lpstr>Лист1</vt:lpstr>
      <vt:lpstr>'2019 год'!add_11_1</vt:lpstr>
      <vt:lpstr>'2019 год'!add_11_2</vt:lpstr>
      <vt:lpstr>'2019 год'!add_11_3</vt:lpstr>
      <vt:lpstr>'2019 год'!add_11_4</vt:lpstr>
      <vt:lpstr>'2019 год'!add_11_5</vt:lpstr>
      <vt:lpstr>'2019 год'!add_11_6</vt:lpstr>
      <vt:lpstr>'2019 год'!add_11_7</vt:lpstr>
      <vt:lpstr>'2019 год'!add_11_8</vt:lpstr>
      <vt:lpstr>'2019 год'!kod_stroki_1</vt:lpstr>
      <vt:lpstr>'2019 год'!kod_stroki_2</vt:lpstr>
      <vt:lpstr>'2019 год'!ks_1730</vt:lpstr>
      <vt:lpstr>'2019 год'!ks_1750</vt:lpstr>
      <vt:lpstr>'2019 год'!ks_1760</vt:lpstr>
      <vt:lpstr>'2019 год'!ks_2020</vt:lpstr>
      <vt:lpstr>'2019 год'!ks_2130</vt:lpstr>
      <vt:lpstr>'2019 год'!ks_2340</vt:lpstr>
      <vt:lpstr>'2019 год'!ks_2450</vt:lpstr>
      <vt:lpstr>'2019 год'!ks_2550</vt:lpstr>
      <vt:lpstr>'2019 год'!ks_700</vt:lpstr>
      <vt:lpstr>'2019 год'!ks_720</vt:lpstr>
      <vt:lpstr>'2019 год'!ks_730</vt:lpstr>
      <vt:lpstr>'2019 год'!ks_990</vt:lpstr>
      <vt:lpstr>'2019 год'!start_11_1</vt:lpstr>
      <vt:lpstr>'2019 год'!start_11_2</vt:lpstr>
      <vt:lpstr>'2019 год'!start_11_3</vt:lpstr>
      <vt:lpstr>'2019 год'!start_11_4</vt:lpstr>
      <vt:lpstr>'2019 год'!start_11_5</vt:lpstr>
      <vt:lpstr>'2019 год'!start_11_6</vt:lpstr>
      <vt:lpstr>'2019 год'!start_11_7</vt:lpstr>
      <vt:lpstr>'2019 год'!start_11_8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Krivneva</dc:creator>
  <cp:lastModifiedBy>Gizikova</cp:lastModifiedBy>
  <dcterms:created xsi:type="dcterms:W3CDTF">2020-01-31T06:12:30Z</dcterms:created>
  <dcterms:modified xsi:type="dcterms:W3CDTF">2020-03-02T06:57:04Z</dcterms:modified>
</cp:coreProperties>
</file>